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8375" windowHeight="8385"/>
  </bookViews>
  <sheets>
    <sheet name="CCC " sheetId="12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U45" i="12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R43"/>
  <c r="S43" s="1"/>
  <c r="T43" s="1"/>
  <c r="U43" s="1"/>
  <c r="Q43"/>
  <c r="P43"/>
  <c r="O43"/>
  <c r="N43"/>
  <c r="M43"/>
  <c r="L43"/>
  <c r="K43"/>
  <c r="J43"/>
  <c r="H43"/>
  <c r="I43" s="1"/>
  <c r="F43"/>
  <c r="G43" s="1"/>
  <c r="E43"/>
  <c r="D43"/>
  <c r="C43"/>
  <c r="B43"/>
  <c r="R42"/>
  <c r="S42" s="1"/>
  <c r="T42" s="1"/>
  <c r="U42" s="1"/>
  <c r="Q42"/>
  <c r="P42"/>
  <c r="O42"/>
  <c r="N42"/>
  <c r="M42"/>
  <c r="L42"/>
  <c r="K42"/>
  <c r="J42"/>
  <c r="I42"/>
  <c r="H42"/>
  <c r="G42"/>
  <c r="F42"/>
  <c r="E42"/>
  <c r="D42"/>
  <c r="C42"/>
  <c r="B42"/>
  <c r="R41"/>
  <c r="S41" s="1"/>
  <c r="T41" s="1"/>
  <c r="U41" s="1"/>
  <c r="Q41"/>
  <c r="P41"/>
  <c r="O41"/>
  <c r="N41"/>
  <c r="M41"/>
  <c r="L41"/>
  <c r="K41"/>
  <c r="J41"/>
  <c r="I41"/>
  <c r="H41"/>
  <c r="G41"/>
  <c r="F41"/>
  <c r="E41"/>
  <c r="D41"/>
  <c r="C41"/>
  <c r="B41"/>
  <c r="R40"/>
  <c r="S40" s="1"/>
  <c r="T40" s="1"/>
  <c r="U40" s="1"/>
  <c r="Q40"/>
  <c r="P40"/>
  <c r="O40"/>
  <c r="N40"/>
  <c r="M40"/>
  <c r="L40"/>
  <c r="K40"/>
  <c r="J40"/>
  <c r="H40"/>
  <c r="I40" s="1"/>
  <c r="F40"/>
  <c r="G40" s="1"/>
  <c r="E40"/>
  <c r="D40"/>
  <c r="C40"/>
  <c r="B40"/>
  <c r="U34"/>
  <c r="T34"/>
  <c r="S34"/>
  <c r="R34"/>
  <c r="Q34"/>
  <c r="P34"/>
  <c r="O34"/>
  <c r="N34"/>
  <c r="M34"/>
  <c r="L34"/>
  <c r="U33"/>
  <c r="T33"/>
  <c r="S33"/>
  <c r="R33"/>
  <c r="Q33"/>
  <c r="P33"/>
  <c r="O33"/>
  <c r="N33"/>
  <c r="M33"/>
  <c r="L33"/>
  <c r="T32"/>
  <c r="R32"/>
  <c r="P32"/>
  <c r="Q32" s="1"/>
  <c r="N32"/>
  <c r="M32"/>
  <c r="L32"/>
  <c r="O32" s="1"/>
  <c r="T31"/>
  <c r="R31"/>
  <c r="P31"/>
  <c r="Q31" s="1"/>
  <c r="N31"/>
  <c r="M31"/>
  <c r="L31"/>
  <c r="O31" s="1"/>
  <c r="T30"/>
  <c r="R30"/>
  <c r="P30"/>
  <c r="Q30" s="1"/>
  <c r="N30"/>
  <c r="M30"/>
  <c r="L30"/>
  <c r="O30" s="1"/>
  <c r="T29"/>
  <c r="R29"/>
  <c r="P29"/>
  <c r="Q29" s="1"/>
  <c r="N29"/>
  <c r="M29"/>
  <c r="L29"/>
  <c r="O29" s="1"/>
  <c r="B21"/>
  <c r="S32" s="1"/>
  <c r="U32" l="1"/>
  <c r="S29"/>
  <c r="U29" s="1"/>
  <c r="S30"/>
  <c r="U30" s="1"/>
  <c r="S31"/>
  <c r="U31" s="1"/>
</calcChain>
</file>

<file path=xl/sharedStrings.xml><?xml version="1.0" encoding="utf-8"?>
<sst xmlns="http://schemas.openxmlformats.org/spreadsheetml/2006/main" count="179" uniqueCount="132">
  <si>
    <t>1 - Find Candidates using Software and Screeners</t>
  </si>
  <si>
    <t>If Stock goes Down lots in first 2 weeks, Buy Back Call at 20% of Original Value or Less</t>
  </si>
  <si>
    <t>3 - Fill in User Input and Yellow Box Data Below</t>
  </si>
  <si>
    <t>a. If In first 2 weeks - Mid Month Rule</t>
  </si>
  <si>
    <t xml:space="preserve">If Stock Not down lots, wait until expiration </t>
  </si>
  <si>
    <t>a. If ITM at Expiration, , take profits and look to next trade</t>
  </si>
  <si>
    <t>7c - Use StayorGo (Delta Effect) Calculator</t>
  </si>
  <si>
    <t>User Input</t>
  </si>
  <si>
    <t>a. Buyback at 5% Net gain and wait For next selling Opportunity</t>
  </si>
  <si>
    <t>Used for Step 3</t>
  </si>
  <si>
    <t>(Automatic)</t>
  </si>
  <si>
    <t>Buy</t>
  </si>
  <si>
    <t>Sell</t>
  </si>
  <si>
    <t>Volatility</t>
  </si>
  <si>
    <t>Today</t>
  </si>
  <si>
    <t>Back %</t>
  </si>
  <si>
    <t>Again %</t>
  </si>
  <si>
    <t>Buy More %</t>
  </si>
  <si>
    <t>Calculated Data</t>
  </si>
  <si>
    <t>Annual %</t>
  </si>
  <si>
    <t>Buyback</t>
  </si>
  <si>
    <t>Sell GTC</t>
  </si>
  <si>
    <t>Buy More</t>
  </si>
  <si>
    <t>Stock</t>
  </si>
  <si>
    <t>Price</t>
  </si>
  <si>
    <t>Date In</t>
  </si>
  <si>
    <t>Exp Date</t>
  </si>
  <si>
    <t>Strike</t>
  </si>
  <si>
    <t xml:space="preserve"> Weeks?</t>
  </si>
  <si>
    <t>SMRT</t>
  </si>
  <si>
    <t>STEP</t>
  </si>
  <si>
    <t>Implementation of Covered Call Strategy with Possible Management Steps:</t>
  </si>
  <si>
    <t xml:space="preserve">b. GTC Order to Resell Call at some percentage i.e. "50%" of Original Value </t>
  </si>
  <si>
    <t>b. If Near TM, Sell more Calls next Month if &gt;= 4% called and uncalled</t>
  </si>
  <si>
    <t>If Stock Down Lots and keeps going Down - Way OTM at Expiration</t>
  </si>
  <si>
    <t>a. When Stock down a User Selected Amount based on Percentage Expected Monthly Range based on Volatility</t>
  </si>
  <si>
    <t>7d  - Use Stay of Go (Delta Effect) Calculator</t>
  </si>
  <si>
    <t>b. Buy More Stock and Buyback Call if still out (should be worth little) - Basically Doubling Down if Still like Stock</t>
  </si>
  <si>
    <t>b. If Buyback at Profit Impossible, use Defensive Techniques</t>
  </si>
  <si>
    <t>Monthly</t>
  </si>
  <si>
    <t>Secondary</t>
  </si>
  <si>
    <t>Range</t>
  </si>
  <si>
    <t>Yield</t>
  </si>
  <si>
    <t>Step 7a - 20 Cent Rule Calculator</t>
  </si>
  <si>
    <t>Input Data Here in Yellow Upon Position Entry</t>
  </si>
  <si>
    <t>Input Daily</t>
  </si>
  <si>
    <t>Call</t>
  </si>
  <si>
    <t>First 2</t>
  </si>
  <si>
    <t>BuyBack</t>
  </si>
  <si>
    <t>20 Cent</t>
  </si>
  <si>
    <t>&lt;2 Weeks</t>
  </si>
  <si>
    <t>Exercise</t>
  </si>
  <si>
    <t>Take Def</t>
  </si>
  <si>
    <t>Avg Price</t>
  </si>
  <si>
    <t>Sale?</t>
  </si>
  <si>
    <t>Option?</t>
  </si>
  <si>
    <t>Stock Price</t>
  </si>
  <si>
    <t>More?</t>
  </si>
  <si>
    <t>Call Price</t>
  </si>
  <si>
    <t>Result</t>
  </si>
  <si>
    <t>Exp?</t>
  </si>
  <si>
    <t>Measures</t>
  </si>
  <si>
    <t>XOM</t>
  </si>
  <si>
    <t>no</t>
  </si>
  <si>
    <t>PFE</t>
  </si>
  <si>
    <t>TIN</t>
  </si>
  <si>
    <t>Sale</t>
  </si>
  <si>
    <t>Annulized</t>
  </si>
  <si>
    <t>Return</t>
  </si>
  <si>
    <t>Protection</t>
  </si>
  <si>
    <t>Yield %</t>
  </si>
  <si>
    <t>Uncalled</t>
  </si>
  <si>
    <t>Called</t>
  </si>
  <si>
    <t>Downside</t>
  </si>
  <si>
    <t>OTM</t>
  </si>
  <si>
    <t>ITM</t>
  </si>
  <si>
    <t>Desired</t>
  </si>
  <si>
    <t>Actual</t>
  </si>
  <si>
    <t>Minimun</t>
  </si>
  <si>
    <t>Step 6 - Secondary Call Computer</t>
  </si>
  <si>
    <t>&lt;  Desired?</t>
  </si>
  <si>
    <t>Step 5 - More Stock</t>
  </si>
  <si>
    <t>Step 3 - Mid Month Calculator</t>
  </si>
  <si>
    <t>Covered Call Management Calculator</t>
  </si>
  <si>
    <t xml:space="preserve">1 - </t>
  </si>
  <si>
    <t xml:space="preserve">2 - </t>
  </si>
  <si>
    <t>Covered Call Return Calculator And Excel Trade Tracker to Check and Track Trade</t>
  </si>
  <si>
    <t>2 - Calculate Returns  using Return Calculator and Spreadsheet to track</t>
  </si>
  <si>
    <t xml:space="preserve">3 - </t>
  </si>
  <si>
    <t xml:space="preserve">4 - Normal Covered Call Spreadsheet to track Covered Call Return Calculator to initiate </t>
  </si>
  <si>
    <t xml:space="preserve">5 - Fill in % of Monthly Volatility to find Buy More Stock Price - Enter User Input on Range % </t>
  </si>
  <si>
    <t xml:space="preserve">4 - </t>
  </si>
  <si>
    <t>6 - Secondary Call Sale Calculator (TSS for Income) - Enter appropriate User Input Data on Yields</t>
  </si>
  <si>
    <t xml:space="preserve">c. If Down and &lt; 4% yield -  Wait for rally to 75% of Current Range and Sell Secondary Call </t>
  </si>
  <si>
    <t xml:space="preserve">5 - </t>
  </si>
  <si>
    <t>Enter User Preferences in these boxes</t>
  </si>
  <si>
    <t>c. Sell New Covered Calls 2+ mos out to gain enough if called to BE or better or 10% Yield (Jim's Tech.)</t>
  </si>
  <si>
    <t xml:space="preserve">6 - </t>
  </si>
  <si>
    <t>If used Sale for Income - Sell Call months out at &gt;=10 % Yield - Adhere to 75% Rule</t>
  </si>
  <si>
    <t>5- Monthly</t>
  </si>
  <si>
    <t>6- Secondary</t>
  </si>
  <si>
    <t>6 -Secondary</t>
  </si>
  <si>
    <t>20 Cent - 7a</t>
  </si>
  <si>
    <t>7c and7d</t>
  </si>
  <si>
    <t>Enough</t>
  </si>
  <si>
    <t xml:space="preserve">7 - </t>
  </si>
  <si>
    <t>Defensive Techniques - When Callout would result in Loss or an unacceptable Rate of Return</t>
  </si>
  <si>
    <t xml:space="preserve">a. Buyback and Resell for Defense if 20c rule - (Call Strike + Call Buyback Price - Stock Price &lt;= 20 cents) </t>
  </si>
  <si>
    <t>b. Replace Stock with LEAP if right account type</t>
  </si>
  <si>
    <r>
      <t xml:space="preserve">Enter All other Data </t>
    </r>
    <r>
      <rPr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in columns with Yellow Headings</t>
    </r>
  </si>
  <si>
    <t>The Rest is caclulated automatically by the various calculators when appropriate conditions are met</t>
  </si>
  <si>
    <t>Step 2 - Enter Trade Data to begin tracking process</t>
  </si>
  <si>
    <t>Step 2 - Track Trades</t>
  </si>
  <si>
    <t>(yes/no)</t>
  </si>
  <si>
    <t>Curr Stk</t>
  </si>
  <si>
    <t>Steps 2 and  4 - Covered Call Return Calculator</t>
  </si>
  <si>
    <t>Steps 7c and 7d - Buyback Option and Sell Stock if Enough Return</t>
  </si>
  <si>
    <t>Gain</t>
  </si>
  <si>
    <t>Total</t>
  </si>
  <si>
    <t>and Sell</t>
  </si>
  <si>
    <t>or</t>
  </si>
  <si>
    <t>Rate of</t>
  </si>
  <si>
    <t>Consider</t>
  </si>
  <si>
    <t>Total $</t>
  </si>
  <si>
    <t>Loss $</t>
  </si>
  <si>
    <t>Buyback?</t>
  </si>
  <si>
    <t>Use Technical Analysis and Stock Screeners to find Candidates - Adhere to Buy Low Rule (&lt;=25% of Current Cycle)</t>
  </si>
  <si>
    <t>7a - Enter User Input for desired Min Return (Yield) and Monitor 20 Cent Rule Calculator</t>
  </si>
  <si>
    <t>7b (Under Development)</t>
  </si>
  <si>
    <t>c. Delta Effect if get Net gain - If Stock Way Up very fast - Especially after Sale for Income</t>
  </si>
  <si>
    <t>d. Buyback due to Time Decay - If Stock Up after Sale for Income,  but Option Down due to Time Decay</t>
  </si>
  <si>
    <t>Comm %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</si>
</sst>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.0%"/>
    <numFmt numFmtId="166" formatCode="#,##0.0_);[Red]\(#,##0.0\)"/>
    <numFmt numFmtId="167" formatCode="0.00_);[Red]\(0.00\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FEB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93">
    <xf numFmtId="0" fontId="0" fillId="0" borderId="0" xfId="0"/>
    <xf numFmtId="0" fontId="0" fillId="3" borderId="0" xfId="0" applyFont="1" applyFill="1"/>
    <xf numFmtId="0" fontId="0" fillId="4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 applyBorder="1" applyAlignment="1">
      <alignment horizontal="left"/>
    </xf>
    <xf numFmtId="0" fontId="0" fillId="5" borderId="0" xfId="0" applyFont="1" applyFill="1"/>
    <xf numFmtId="0" fontId="0" fillId="6" borderId="0" xfId="0" applyFont="1" applyFill="1"/>
    <xf numFmtId="0" fontId="0" fillId="7" borderId="0" xfId="0" applyFill="1"/>
    <xf numFmtId="0" fontId="0" fillId="6" borderId="0" xfId="0" applyFill="1"/>
    <xf numFmtId="0" fontId="0" fillId="3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7" borderId="0" xfId="0" applyFont="1" applyFill="1"/>
    <xf numFmtId="0" fontId="1" fillId="10" borderId="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0" xfId="0" applyFill="1"/>
    <xf numFmtId="0" fontId="0" fillId="12" borderId="0" xfId="0" applyFill="1"/>
    <xf numFmtId="0" fontId="0" fillId="13" borderId="0" xfId="0" applyFill="1"/>
    <xf numFmtId="0" fontId="0" fillId="12" borderId="0" xfId="0" applyFont="1" applyFill="1"/>
    <xf numFmtId="0" fontId="0" fillId="6" borderId="0" xfId="0" applyFill="1" applyBorder="1" applyAlignment="1">
      <alignment horizontal="center"/>
    </xf>
    <xf numFmtId="0" fontId="0" fillId="13" borderId="0" xfId="0" applyFont="1" applyFill="1"/>
    <xf numFmtId="8" fontId="0" fillId="4" borderId="0" xfId="0" applyNumberForma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8" fontId="0" fillId="4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8" fontId="0" fillId="6" borderId="18" xfId="0" applyNumberFormat="1" applyFill="1" applyBorder="1" applyAlignment="1">
      <alignment horizontal="center"/>
    </xf>
    <xf numFmtId="8" fontId="0" fillId="4" borderId="12" xfId="0" applyNumberFormat="1" applyFill="1" applyBorder="1" applyAlignment="1">
      <alignment horizontal="center"/>
    </xf>
    <xf numFmtId="8" fontId="0" fillId="6" borderId="19" xfId="0" applyNumberFormat="1" applyFill="1" applyBorder="1" applyAlignment="1">
      <alignment horizontal="center"/>
    </xf>
    <xf numFmtId="8" fontId="0" fillId="4" borderId="14" xfId="0" applyNumberFormat="1" applyFill="1" applyBorder="1" applyAlignment="1">
      <alignment horizontal="center"/>
    </xf>
    <xf numFmtId="8" fontId="0" fillId="6" borderId="20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4" xfId="0" applyFill="1" applyBorder="1"/>
    <xf numFmtId="0" fontId="1" fillId="12" borderId="6" xfId="0" applyFont="1" applyFill="1" applyBorder="1" applyAlignment="1">
      <alignment horizontal="center"/>
    </xf>
    <xf numFmtId="165" fontId="0" fillId="12" borderId="12" xfId="0" applyNumberForma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165" fontId="0" fillId="12" borderId="14" xfId="0" applyNumberFormat="1" applyFill="1" applyBorder="1" applyAlignment="1">
      <alignment horizontal="center"/>
    </xf>
    <xf numFmtId="8" fontId="0" fillId="12" borderId="14" xfId="0" applyNumberFormat="1" applyFill="1" applyBorder="1" applyAlignment="1">
      <alignment horizontal="center"/>
    </xf>
    <xf numFmtId="8" fontId="8" fillId="12" borderId="14" xfId="0" applyNumberFormat="1" applyFont="1" applyFill="1" applyBorder="1" applyAlignment="1">
      <alignment horizontal="center"/>
    </xf>
    <xf numFmtId="8" fontId="0" fillId="12" borderId="12" xfId="0" applyNumberFormat="1" applyFill="1" applyBorder="1" applyAlignment="1">
      <alignment horizontal="center"/>
    </xf>
    <xf numFmtId="8" fontId="8" fillId="12" borderId="12" xfId="0" applyNumberFormat="1" applyFont="1" applyFill="1" applyBorder="1" applyAlignment="1">
      <alignment horizontal="center"/>
    </xf>
    <xf numFmtId="165" fontId="0" fillId="12" borderId="9" xfId="0" applyNumberForma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5" borderId="4" xfId="0" applyFill="1" applyBorder="1"/>
    <xf numFmtId="8" fontId="0" fillId="5" borderId="1" xfId="0" applyNumberForma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14" borderId="0" xfId="0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right"/>
    </xf>
    <xf numFmtId="0" fontId="0" fillId="15" borderId="0" xfId="0" applyFill="1"/>
    <xf numFmtId="0" fontId="0" fillId="12" borderId="37" xfId="0" applyFill="1" applyBorder="1" applyAlignment="1">
      <alignment horizontal="center"/>
    </xf>
    <xf numFmtId="8" fontId="0" fillId="13" borderId="29" xfId="0" applyNumberFormat="1" applyFill="1" applyBorder="1" applyAlignment="1">
      <alignment horizontal="center"/>
    </xf>
    <xf numFmtId="8" fontId="0" fillId="7" borderId="5" xfId="0" applyNumberFormat="1" applyFont="1" applyFill="1" applyBorder="1" applyAlignment="1">
      <alignment horizontal="center"/>
    </xf>
    <xf numFmtId="8" fontId="0" fillId="13" borderId="29" xfId="0" applyNumberFormat="1" applyFont="1" applyFill="1" applyBorder="1" applyAlignment="1">
      <alignment horizontal="center"/>
    </xf>
    <xf numFmtId="8" fontId="0" fillId="7" borderId="5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4" borderId="8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12" borderId="16" xfId="0" applyFill="1" applyBorder="1" applyAlignment="1" applyProtection="1">
      <alignment horizontal="center"/>
      <protection locked="0"/>
    </xf>
    <xf numFmtId="166" fontId="0" fillId="13" borderId="16" xfId="0" applyNumberFormat="1" applyFill="1" applyBorder="1" applyAlignment="1" applyProtection="1">
      <alignment horizontal="center"/>
      <protection locked="0"/>
    </xf>
    <xf numFmtId="0" fontId="0" fillId="15" borderId="0" xfId="0" applyFont="1" applyFill="1"/>
    <xf numFmtId="0" fontId="0" fillId="3" borderId="0" xfId="0" applyFill="1" applyAlignment="1"/>
    <xf numFmtId="0" fontId="0" fillId="14" borderId="0" xfId="0" applyFont="1" applyFill="1"/>
    <xf numFmtId="0" fontId="11" fillId="10" borderId="2" xfId="0" applyFont="1" applyFill="1" applyBorder="1" applyAlignment="1">
      <alignment horizontal="center"/>
    </xf>
    <xf numFmtId="0" fontId="4" fillId="10" borderId="3" xfId="0" applyFont="1" applyFill="1" applyBorder="1" applyAlignment="1"/>
    <xf numFmtId="0" fontId="1" fillId="10" borderId="5" xfId="0" applyFont="1" applyFill="1" applyBorder="1" applyAlignment="1">
      <alignment horizontal="center"/>
    </xf>
    <xf numFmtId="0" fontId="0" fillId="13" borderId="4" xfId="0" applyFont="1" applyFill="1" applyBorder="1" applyAlignment="1">
      <alignment horizontal="center"/>
    </xf>
    <xf numFmtId="8" fontId="0" fillId="13" borderId="0" xfId="0" applyNumberFormat="1" applyFont="1" applyFill="1" applyBorder="1" applyAlignment="1">
      <alignment horizontal="center"/>
    </xf>
    <xf numFmtId="8" fontId="0" fillId="13" borderId="0" xfId="0" applyNumberFormat="1" applyFill="1" applyBorder="1" applyAlignment="1">
      <alignment horizontal="center"/>
    </xf>
    <xf numFmtId="8" fontId="0" fillId="13" borderId="5" xfId="0" applyNumberFormat="1" applyFont="1" applyFill="1" applyBorder="1" applyAlignment="1">
      <alignment horizontal="center"/>
    </xf>
    <xf numFmtId="0" fontId="0" fillId="16" borderId="6" xfId="0" applyFill="1" applyBorder="1" applyAlignment="1" applyProtection="1">
      <alignment horizontal="center"/>
      <protection locked="0"/>
    </xf>
    <xf numFmtId="8" fontId="0" fillId="16" borderId="9" xfId="0" applyNumberFormat="1" applyFill="1" applyBorder="1" applyAlignment="1" applyProtection="1">
      <alignment horizontal="center"/>
      <protection locked="0"/>
    </xf>
    <xf numFmtId="164" fontId="0" fillId="16" borderId="9" xfId="0" applyNumberFormat="1" applyFill="1" applyBorder="1" applyAlignment="1" applyProtection="1">
      <alignment horizontal="center"/>
      <protection locked="0"/>
    </xf>
    <xf numFmtId="0" fontId="0" fillId="16" borderId="9" xfId="0" applyFill="1" applyBorder="1" applyAlignment="1" applyProtection="1">
      <alignment horizontal="center"/>
      <protection locked="0"/>
    </xf>
    <xf numFmtId="8" fontId="0" fillId="16" borderId="11" xfId="0" applyNumberFormat="1" applyFill="1" applyBorder="1" applyAlignment="1" applyProtection="1">
      <alignment horizontal="center"/>
      <protection locked="0"/>
    </xf>
    <xf numFmtId="8" fontId="0" fillId="16" borderId="13" xfId="0" applyNumberFormat="1" applyFill="1" applyBorder="1" applyAlignment="1" applyProtection="1">
      <alignment horizontal="center"/>
      <protection locked="0"/>
    </xf>
    <xf numFmtId="8" fontId="0" fillId="6" borderId="9" xfId="0" applyNumberFormat="1" applyFill="1" applyBorder="1" applyAlignment="1">
      <alignment horizontal="center"/>
    </xf>
    <xf numFmtId="8" fontId="0" fillId="13" borderId="11" xfId="0" applyNumberFormat="1" applyFont="1" applyFill="1" applyBorder="1" applyAlignment="1">
      <alignment horizontal="center"/>
    </xf>
    <xf numFmtId="8" fontId="0" fillId="13" borderId="12" xfId="0" applyNumberFormat="1" applyFont="1" applyFill="1" applyBorder="1" applyAlignment="1">
      <alignment horizontal="center"/>
    </xf>
    <xf numFmtId="8" fontId="0" fillId="13" borderId="13" xfId="0" applyNumberFormat="1" applyFont="1" applyFill="1" applyBorder="1" applyAlignment="1">
      <alignment horizontal="center"/>
    </xf>
    <xf numFmtId="0" fontId="0" fillId="16" borderId="11" xfId="0" applyFill="1" applyBorder="1" applyAlignment="1" applyProtection="1">
      <alignment horizontal="center"/>
      <protection locked="0"/>
    </xf>
    <xf numFmtId="8" fontId="0" fillId="16" borderId="12" xfId="0" applyNumberFormat="1" applyFill="1" applyBorder="1" applyAlignment="1" applyProtection="1">
      <alignment horizontal="center"/>
      <protection locked="0"/>
    </xf>
    <xf numFmtId="164" fontId="0" fillId="16" borderId="12" xfId="0" applyNumberFormat="1" applyFill="1" applyBorder="1" applyAlignment="1" applyProtection="1">
      <alignment horizontal="center"/>
      <protection locked="0"/>
    </xf>
    <xf numFmtId="0" fontId="0" fillId="16" borderId="12" xfId="0" applyFill="1" applyBorder="1" applyAlignment="1" applyProtection="1">
      <alignment horizontal="center"/>
      <protection locked="0"/>
    </xf>
    <xf numFmtId="8" fontId="0" fillId="6" borderId="12" xfId="0" applyNumberFormat="1" applyFill="1" applyBorder="1" applyAlignment="1">
      <alignment horizontal="center"/>
    </xf>
    <xf numFmtId="0" fontId="0" fillId="16" borderId="7" xfId="0" applyFill="1" applyBorder="1" applyAlignment="1" applyProtection="1">
      <alignment horizontal="center"/>
      <protection locked="0"/>
    </xf>
    <xf numFmtId="8" fontId="0" fillId="16" borderId="14" xfId="0" applyNumberFormat="1" applyFill="1" applyBorder="1" applyAlignment="1" applyProtection="1">
      <alignment horizontal="center"/>
      <protection locked="0"/>
    </xf>
    <xf numFmtId="164" fontId="0" fillId="16" borderId="14" xfId="0" applyNumberFormat="1" applyFill="1" applyBorder="1" applyAlignment="1" applyProtection="1">
      <alignment horizontal="center"/>
      <protection locked="0"/>
    </xf>
    <xf numFmtId="0" fontId="0" fillId="16" borderId="14" xfId="0" applyFill="1" applyBorder="1" applyAlignment="1" applyProtection="1">
      <alignment horizontal="center"/>
      <protection locked="0"/>
    </xf>
    <xf numFmtId="8" fontId="0" fillId="16" borderId="38" xfId="0" applyNumberFormat="1" applyFill="1" applyBorder="1" applyAlignment="1" applyProtection="1">
      <alignment horizontal="center"/>
      <protection locked="0"/>
    </xf>
    <xf numFmtId="8" fontId="0" fillId="16" borderId="32" xfId="0" applyNumberFormat="1" applyFill="1" applyBorder="1" applyAlignment="1" applyProtection="1">
      <alignment horizontal="center"/>
      <protection locked="0"/>
    </xf>
    <xf numFmtId="8" fontId="0" fillId="6" borderId="14" xfId="0" applyNumberFormat="1" applyFill="1" applyBorder="1" applyAlignment="1">
      <alignment horizontal="center"/>
    </xf>
    <xf numFmtId="8" fontId="0" fillId="13" borderId="7" xfId="0" applyNumberFormat="1" applyFont="1" applyFill="1" applyBorder="1" applyAlignment="1">
      <alignment horizontal="center"/>
    </xf>
    <xf numFmtId="8" fontId="0" fillId="13" borderId="14" xfId="0" applyNumberFormat="1" applyFont="1" applyFill="1" applyBorder="1" applyAlignment="1">
      <alignment horizontal="center"/>
    </xf>
    <xf numFmtId="8" fontId="0" fillId="13" borderId="1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8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8" fontId="0" fillId="3" borderId="0" xfId="0" applyNumberFormat="1" applyFill="1" applyBorder="1"/>
    <xf numFmtId="8" fontId="0" fillId="7" borderId="1" xfId="0" applyNumberFormat="1" applyFill="1" applyBorder="1" applyAlignment="1">
      <alignment horizontal="center"/>
    </xf>
    <xf numFmtId="8" fontId="0" fillId="7" borderId="2" xfId="0" applyNumberFormat="1" applyFill="1" applyBorder="1" applyAlignment="1">
      <alignment horizontal="center"/>
    </xf>
    <xf numFmtId="8" fontId="0" fillId="7" borderId="3" xfId="0" applyNumberFormat="1" applyFont="1" applyFill="1" applyBorder="1" applyAlignment="1">
      <alignment horizontal="center"/>
    </xf>
    <xf numFmtId="8" fontId="0" fillId="7" borderId="4" xfId="0" applyNumberFormat="1" applyFill="1" applyBorder="1" applyAlignment="1">
      <alignment horizontal="center"/>
    </xf>
    <xf numFmtId="165" fontId="0" fillId="5" borderId="12" xfId="0" applyNumberFormat="1" applyFill="1" applyBorder="1" applyAlignment="1">
      <alignment horizontal="center"/>
    </xf>
    <xf numFmtId="165" fontId="0" fillId="5" borderId="23" xfId="0" applyNumberFormat="1" applyFill="1" applyBorder="1" applyAlignment="1">
      <alignment horizontal="center"/>
    </xf>
    <xf numFmtId="165" fontId="0" fillId="5" borderId="13" xfId="0" applyNumberFormat="1" applyFill="1" applyBorder="1" applyAlignment="1">
      <alignment horizontal="center"/>
    </xf>
    <xf numFmtId="8" fontId="7" fillId="12" borderId="12" xfId="0" applyNumberFormat="1" applyFont="1" applyFill="1" applyBorder="1" applyAlignment="1">
      <alignment horizontal="center"/>
    </xf>
    <xf numFmtId="8" fontId="0" fillId="7" borderId="11" xfId="0" applyNumberFormat="1" applyFont="1" applyFill="1" applyBorder="1" applyAlignment="1">
      <alignment horizontal="center"/>
    </xf>
    <xf numFmtId="8" fontId="0" fillId="7" borderId="12" xfId="0" applyNumberFormat="1" applyFont="1" applyFill="1" applyBorder="1" applyAlignment="1">
      <alignment horizontal="center"/>
    </xf>
    <xf numFmtId="165" fontId="0" fillId="7" borderId="12" xfId="0" applyNumberFormat="1" applyFont="1" applyFill="1" applyBorder="1" applyAlignment="1">
      <alignment horizontal="center"/>
    </xf>
    <xf numFmtId="8" fontId="0" fillId="7" borderId="13" xfId="0" applyNumberFormat="1" applyFont="1" applyFill="1" applyBorder="1" applyAlignment="1">
      <alignment horizontal="center"/>
    </xf>
    <xf numFmtId="8" fontId="0" fillId="5" borderId="11" xfId="0" applyNumberFormat="1" applyFill="1" applyBorder="1" applyAlignment="1">
      <alignment horizontal="center"/>
    </xf>
    <xf numFmtId="165" fontId="0" fillId="5" borderId="22" xfId="0" applyNumberFormat="1" applyFill="1" applyBorder="1" applyAlignment="1">
      <alignment horizontal="center"/>
    </xf>
    <xf numFmtId="8" fontId="0" fillId="5" borderId="7" xfId="0" applyNumberFormat="1" applyFill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165" fontId="0" fillId="5" borderId="24" xfId="0" applyNumberFormat="1" applyFill="1" applyBorder="1" applyAlignment="1">
      <alignment horizontal="center"/>
    </xf>
    <xf numFmtId="165" fontId="0" fillId="5" borderId="15" xfId="0" applyNumberFormat="1" applyFill="1" applyBorder="1" applyAlignment="1">
      <alignment horizontal="center"/>
    </xf>
    <xf numFmtId="8" fontId="7" fillId="12" borderId="14" xfId="0" applyNumberFormat="1" applyFont="1" applyFill="1" applyBorder="1" applyAlignment="1">
      <alignment horizontal="center"/>
    </xf>
    <xf numFmtId="8" fontId="0" fillId="7" borderId="38" xfId="0" applyNumberFormat="1" applyFont="1" applyFill="1" applyBorder="1" applyAlignment="1">
      <alignment horizontal="center"/>
    </xf>
    <xf numFmtId="8" fontId="0" fillId="7" borderId="21" xfId="0" applyNumberFormat="1" applyFont="1" applyFill="1" applyBorder="1" applyAlignment="1">
      <alignment horizontal="center"/>
    </xf>
    <xf numFmtId="165" fontId="0" fillId="7" borderId="21" xfId="0" applyNumberFormat="1" applyFont="1" applyFill="1" applyBorder="1" applyAlignment="1">
      <alignment horizontal="center"/>
    </xf>
    <xf numFmtId="8" fontId="0" fillId="7" borderId="32" xfId="0" applyNumberFormat="1" applyFont="1" applyFill="1" applyBorder="1" applyAlignment="1">
      <alignment horizontal="center"/>
    </xf>
    <xf numFmtId="8" fontId="0" fillId="14" borderId="0" xfId="0" applyNumberFormat="1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8" fontId="0" fillId="7" borderId="0" xfId="0" applyNumberForma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12" fillId="17" borderId="31" xfId="0" applyNumberFormat="1" applyFont="1" applyFill="1" applyBorder="1" applyAlignment="1">
      <alignment horizontal="center"/>
    </xf>
    <xf numFmtId="164" fontId="12" fillId="17" borderId="2" xfId="0" applyNumberFormat="1" applyFont="1" applyFill="1" applyBorder="1" applyAlignment="1">
      <alignment horizontal="center"/>
    </xf>
    <xf numFmtId="164" fontId="12" fillId="17" borderId="30" xfId="0" applyNumberFormat="1" applyFont="1" applyFill="1" applyBorder="1" applyAlignment="1">
      <alignment horizontal="center"/>
    </xf>
    <xf numFmtId="8" fontId="1" fillId="4" borderId="2" xfId="0" applyNumberFormat="1" applyFont="1" applyFill="1" applyBorder="1" applyAlignment="1">
      <alignment horizontal="center"/>
    </xf>
    <xf numFmtId="8" fontId="1" fillId="4" borderId="3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8" fontId="0" fillId="5" borderId="0" xfId="0" applyNumberForma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8" fontId="0" fillId="7" borderId="0" xfId="0" applyNumberFormat="1" applyFill="1" applyBorder="1" applyAlignment="1">
      <alignment horizontal="center"/>
    </xf>
    <xf numFmtId="8" fontId="0" fillId="7" borderId="0" xfId="0" applyNumberFormat="1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14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6" fontId="0" fillId="7" borderId="17" xfId="0" applyNumberFormat="1" applyFill="1" applyBorder="1" applyAlignment="1" applyProtection="1">
      <alignment horizontal="center"/>
      <protection locked="0"/>
    </xf>
    <xf numFmtId="0" fontId="0" fillId="3" borderId="39" xfId="0" applyFill="1" applyBorder="1" applyAlignment="1">
      <alignment horizontal="center"/>
    </xf>
    <xf numFmtId="167" fontId="0" fillId="3" borderId="40" xfId="0" applyNumberFormat="1" applyFont="1" applyFill="1" applyBorder="1" applyAlignment="1" applyProtection="1">
      <alignment horizontal="center"/>
      <protection locked="0"/>
    </xf>
    <xf numFmtId="165" fontId="0" fillId="5" borderId="0" xfId="0" applyNumberFormat="1" applyFont="1" applyFill="1" applyBorder="1" applyAlignment="1">
      <alignment horizontal="center"/>
    </xf>
    <xf numFmtId="165" fontId="0" fillId="5" borderId="25" xfId="0" applyNumberFormat="1" applyFill="1" applyBorder="1" applyAlignment="1">
      <alignment horizontal="center"/>
    </xf>
  </cellXfs>
  <cellStyles count="6">
    <cellStyle name="Comma 2" xfId="1"/>
    <cellStyle name="Currency 2" xfId="2"/>
    <cellStyle name="Normal" xfId="0" builtinId="0"/>
    <cellStyle name="Normal 2" xfId="3"/>
    <cellStyle name="Normal 3" xfId="4"/>
    <cellStyle name="Percent 2" xf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4"/>
  <sheetViews>
    <sheetView tabSelected="1" topLeftCell="A3" zoomScale="60" zoomScaleNormal="60" workbookViewId="0">
      <selection activeCell="I23" sqref="I23"/>
    </sheetView>
  </sheetViews>
  <sheetFormatPr defaultRowHeight="15"/>
  <cols>
    <col min="2" max="2" width="13.140625" customWidth="1"/>
    <col min="3" max="3" width="12.5703125" customWidth="1"/>
    <col min="4" max="4" width="11.28515625" customWidth="1"/>
    <col min="5" max="5" width="14.85546875" customWidth="1"/>
    <col min="6" max="6" width="14.28515625" customWidth="1"/>
    <col min="7" max="7" width="14.85546875" customWidth="1"/>
    <col min="8" max="8" width="13.85546875" customWidth="1"/>
    <col min="9" max="9" width="13.140625" customWidth="1"/>
    <col min="10" max="10" width="11.28515625" customWidth="1"/>
    <col min="11" max="11" width="11.140625" customWidth="1"/>
    <col min="12" max="12" width="11.42578125" customWidth="1"/>
    <col min="13" max="13" width="11.85546875" customWidth="1"/>
    <col min="14" max="14" width="11.5703125" customWidth="1"/>
    <col min="15" max="15" width="11.7109375" customWidth="1"/>
    <col min="16" max="16" width="14.85546875" customWidth="1"/>
    <col min="17" max="17" width="17.28515625" customWidth="1"/>
    <col min="18" max="18" width="12.7109375" customWidth="1"/>
    <col min="19" max="19" width="11" customWidth="1"/>
    <col min="20" max="20" width="13.5703125" customWidth="1"/>
    <col min="21" max="21" width="10.7109375" customWidth="1"/>
  </cols>
  <sheetData>
    <row r="1" spans="1:27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18.75">
      <c r="A2" s="73"/>
      <c r="B2" s="176" t="s">
        <v>83</v>
      </c>
      <c r="C2" s="176"/>
      <c r="D2" s="176"/>
      <c r="E2" s="176"/>
      <c r="F2" s="176"/>
      <c r="G2" s="176"/>
      <c r="H2" s="176"/>
      <c r="I2" s="153"/>
      <c r="J2" s="74" t="s">
        <v>30</v>
      </c>
      <c r="K2" s="177" t="s">
        <v>31</v>
      </c>
      <c r="L2" s="178"/>
      <c r="M2" s="178"/>
      <c r="N2" s="178"/>
      <c r="O2" s="178"/>
      <c r="P2" s="178"/>
      <c r="Q2" s="178"/>
      <c r="R2" s="178"/>
      <c r="S2" s="178"/>
      <c r="T2" s="177"/>
      <c r="U2" s="178"/>
      <c r="V2" s="73"/>
      <c r="W2" s="73"/>
      <c r="X2" s="73"/>
      <c r="Y2" s="73"/>
      <c r="Z2" s="73"/>
      <c r="AA2" s="73"/>
    </row>
    <row r="3" spans="1:27">
      <c r="A3" s="73"/>
      <c r="B3" s="23"/>
      <c r="C3" s="23"/>
      <c r="D3" s="23"/>
      <c r="E3" s="23"/>
      <c r="F3" s="23"/>
      <c r="G3" s="23"/>
      <c r="H3" s="23"/>
      <c r="I3" s="23"/>
      <c r="J3" s="75" t="s">
        <v>84</v>
      </c>
      <c r="K3" s="23" t="s">
        <v>126</v>
      </c>
      <c r="L3" s="1"/>
      <c r="M3" s="1"/>
      <c r="N3" s="1"/>
      <c r="O3" s="1"/>
      <c r="P3" s="1"/>
      <c r="Q3" s="1"/>
      <c r="R3" s="1"/>
      <c r="S3" s="1"/>
      <c r="T3" s="1"/>
      <c r="U3" s="1"/>
      <c r="V3" s="73"/>
      <c r="W3" s="73"/>
      <c r="X3" s="73"/>
      <c r="Y3" s="73"/>
      <c r="Z3" s="73"/>
      <c r="AA3" s="73"/>
    </row>
    <row r="4" spans="1:27">
      <c r="A4" s="73"/>
      <c r="B4" s="1" t="s">
        <v>0</v>
      </c>
      <c r="C4" s="1"/>
      <c r="D4" s="1"/>
      <c r="E4" s="1"/>
      <c r="F4" s="1"/>
      <c r="G4" s="1"/>
      <c r="H4" s="1"/>
      <c r="I4" s="1"/>
      <c r="J4" s="75" t="s">
        <v>85</v>
      </c>
      <c r="K4" s="4" t="s">
        <v>86</v>
      </c>
      <c r="L4" s="6"/>
      <c r="M4" s="6"/>
      <c r="N4" s="6"/>
      <c r="O4" s="6"/>
      <c r="P4" s="6"/>
      <c r="Q4" s="6"/>
      <c r="R4" s="6"/>
      <c r="S4" s="6"/>
      <c r="T4" s="6"/>
      <c r="U4" s="6"/>
      <c r="V4" s="73"/>
      <c r="W4" s="73"/>
      <c r="X4" s="73"/>
      <c r="Y4" s="73"/>
      <c r="Z4" s="73"/>
      <c r="AA4" s="73"/>
    </row>
    <row r="5" spans="1:27">
      <c r="A5" s="73"/>
      <c r="B5" s="4" t="s">
        <v>87</v>
      </c>
      <c r="C5" s="6"/>
      <c r="D5" s="6"/>
      <c r="E5" s="6"/>
      <c r="F5" s="6"/>
      <c r="G5" s="6"/>
      <c r="H5" s="6"/>
      <c r="I5" s="4"/>
      <c r="J5" s="75" t="s">
        <v>88</v>
      </c>
      <c r="K5" s="2" t="s">
        <v>1</v>
      </c>
      <c r="L5" s="2"/>
      <c r="M5" s="2"/>
      <c r="N5" s="2"/>
      <c r="O5" s="2"/>
      <c r="P5" s="2"/>
      <c r="Q5" s="2"/>
      <c r="R5" s="2"/>
      <c r="S5" s="2"/>
      <c r="T5" s="2"/>
      <c r="U5" s="2"/>
      <c r="V5" s="73"/>
      <c r="W5" s="73"/>
      <c r="X5" s="73"/>
      <c r="Y5" s="73"/>
      <c r="Z5" s="73"/>
      <c r="AA5" s="73"/>
    </row>
    <row r="6" spans="1:27">
      <c r="A6" s="73"/>
      <c r="B6" s="3" t="s">
        <v>2</v>
      </c>
      <c r="C6" s="2"/>
      <c r="D6" s="2"/>
      <c r="E6" s="2"/>
      <c r="F6" s="2"/>
      <c r="G6" s="2"/>
      <c r="H6" s="2"/>
      <c r="I6" s="3"/>
      <c r="J6" s="76"/>
      <c r="K6" s="2" t="s">
        <v>3</v>
      </c>
      <c r="L6" s="2"/>
      <c r="M6" s="2"/>
      <c r="N6" s="2"/>
      <c r="O6" s="2"/>
      <c r="P6" s="2"/>
      <c r="Q6" s="2"/>
      <c r="R6" s="2"/>
      <c r="S6" s="2"/>
      <c r="T6" s="2"/>
      <c r="U6" s="2"/>
      <c r="V6" s="73"/>
      <c r="W6" s="73"/>
      <c r="X6" s="73"/>
      <c r="Y6" s="73"/>
      <c r="Z6" s="73"/>
      <c r="AA6" s="73"/>
    </row>
    <row r="7" spans="1:27">
      <c r="A7" s="73"/>
      <c r="B7" s="4" t="s">
        <v>89</v>
      </c>
      <c r="C7" s="4"/>
      <c r="D7" s="4"/>
      <c r="E7" s="4"/>
      <c r="F7" s="4"/>
      <c r="G7" s="4"/>
      <c r="H7" s="4"/>
      <c r="I7" s="4"/>
      <c r="J7" s="76"/>
      <c r="K7" s="3" t="s">
        <v>32</v>
      </c>
      <c r="L7" s="2"/>
      <c r="M7" s="2"/>
      <c r="N7" s="2"/>
      <c r="O7" s="2"/>
      <c r="P7" s="2"/>
      <c r="Q7" s="2"/>
      <c r="R7" s="2"/>
      <c r="S7" s="2"/>
      <c r="T7" s="3"/>
      <c r="U7" s="2"/>
      <c r="V7" s="73"/>
      <c r="W7" s="73"/>
      <c r="X7" s="73"/>
      <c r="Y7" s="73"/>
      <c r="Z7" s="73"/>
      <c r="AA7" s="73"/>
    </row>
    <row r="8" spans="1:27">
      <c r="A8" s="73"/>
      <c r="B8" s="5" t="s">
        <v>90</v>
      </c>
      <c r="C8" s="5"/>
      <c r="D8" s="5"/>
      <c r="E8" s="5"/>
      <c r="F8" s="5"/>
      <c r="G8" s="5"/>
      <c r="H8" s="5"/>
      <c r="I8" s="5"/>
      <c r="J8" s="75" t="s">
        <v>91</v>
      </c>
      <c r="K8" s="6" t="s">
        <v>4</v>
      </c>
      <c r="L8" s="6"/>
      <c r="M8" s="6"/>
      <c r="N8" s="6"/>
      <c r="O8" s="6"/>
      <c r="P8" s="6"/>
      <c r="Q8" s="6"/>
      <c r="R8" s="6"/>
      <c r="S8" s="6"/>
      <c r="T8" s="6"/>
      <c r="U8" s="6"/>
      <c r="V8" s="73"/>
      <c r="W8" s="73"/>
      <c r="X8" s="73"/>
      <c r="Y8" s="73"/>
      <c r="Z8" s="73"/>
      <c r="AA8" s="73"/>
    </row>
    <row r="9" spans="1:27">
      <c r="A9" s="73"/>
      <c r="B9" s="24" t="s">
        <v>92</v>
      </c>
      <c r="C9" s="24"/>
      <c r="D9" s="24"/>
      <c r="E9" s="24"/>
      <c r="F9" s="24"/>
      <c r="G9" s="24"/>
      <c r="H9" s="24"/>
      <c r="I9" s="24"/>
      <c r="J9" s="76"/>
      <c r="K9" s="6" t="s">
        <v>5</v>
      </c>
      <c r="L9" s="6"/>
      <c r="M9" s="6"/>
      <c r="N9" s="6"/>
      <c r="O9" s="6"/>
      <c r="P9" s="6"/>
      <c r="Q9" s="6"/>
      <c r="R9" s="6"/>
      <c r="S9" s="6"/>
      <c r="T9" s="6"/>
      <c r="U9" s="6"/>
      <c r="V9" s="73"/>
      <c r="W9" s="73"/>
      <c r="X9" s="73"/>
      <c r="Y9" s="73"/>
      <c r="Z9" s="73"/>
      <c r="AA9" s="73"/>
    </row>
    <row r="10" spans="1:27">
      <c r="A10" s="73"/>
      <c r="B10" s="25" t="s">
        <v>127</v>
      </c>
      <c r="C10" s="25"/>
      <c r="D10" s="25"/>
      <c r="E10" s="25"/>
      <c r="F10" s="25"/>
      <c r="G10" s="25"/>
      <c r="H10" s="25"/>
      <c r="I10" s="25"/>
      <c r="J10" s="76"/>
      <c r="K10" s="4" t="s">
        <v>33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73"/>
      <c r="W10" s="73"/>
      <c r="X10" s="73"/>
      <c r="Y10" s="73"/>
      <c r="Z10" s="73"/>
      <c r="AA10" s="73"/>
    </row>
    <row r="11" spans="1:27">
      <c r="A11" s="73"/>
      <c r="B11" s="77" t="s">
        <v>128</v>
      </c>
      <c r="C11" s="77"/>
      <c r="D11" s="77"/>
      <c r="E11" s="77"/>
      <c r="F11" s="77"/>
      <c r="G11" s="77"/>
      <c r="H11" s="77"/>
      <c r="I11" s="77"/>
      <c r="J11" s="76"/>
      <c r="K11" s="4" t="s">
        <v>93</v>
      </c>
      <c r="L11" s="6"/>
      <c r="M11" s="6"/>
      <c r="N11" s="6"/>
      <c r="O11" s="6"/>
      <c r="P11" s="6"/>
      <c r="Q11" s="6"/>
      <c r="R11" s="6"/>
      <c r="S11" s="6"/>
      <c r="T11" s="4"/>
      <c r="U11" s="6"/>
      <c r="V11" s="73"/>
      <c r="W11" s="73"/>
      <c r="X11" s="73"/>
      <c r="Y11" s="73"/>
      <c r="Z11" s="73"/>
      <c r="AA11" s="73"/>
    </row>
    <row r="12" spans="1:27">
      <c r="A12" s="73"/>
      <c r="B12" s="8" t="s">
        <v>6</v>
      </c>
      <c r="C12" s="8"/>
      <c r="D12" s="8"/>
      <c r="E12" s="8"/>
      <c r="F12" s="8"/>
      <c r="G12" s="8"/>
      <c r="H12" s="8"/>
      <c r="I12" s="8"/>
      <c r="J12" s="75" t="s">
        <v>94</v>
      </c>
      <c r="K12" s="9" t="s">
        <v>34</v>
      </c>
      <c r="L12" s="7"/>
      <c r="M12" s="7"/>
      <c r="N12" s="7"/>
      <c r="O12" s="7"/>
      <c r="P12" s="7"/>
      <c r="Q12" s="7"/>
      <c r="R12" s="7"/>
      <c r="S12" s="7"/>
      <c r="T12" s="9"/>
      <c r="U12" s="7"/>
      <c r="V12" s="73"/>
      <c r="W12" s="73"/>
      <c r="X12" s="73"/>
      <c r="Y12" s="73"/>
      <c r="Z12" s="73"/>
      <c r="AA12" s="73"/>
    </row>
    <row r="13" spans="1:27">
      <c r="A13" s="73"/>
      <c r="B13" s="8" t="s">
        <v>36</v>
      </c>
      <c r="C13" s="8"/>
      <c r="D13" s="8"/>
      <c r="E13" s="8"/>
      <c r="F13" s="8"/>
      <c r="G13" s="8"/>
      <c r="H13" s="8"/>
      <c r="I13" s="8"/>
      <c r="J13" s="76"/>
      <c r="K13" s="9" t="s">
        <v>35</v>
      </c>
      <c r="L13" s="7"/>
      <c r="M13" s="7"/>
      <c r="N13" s="7"/>
      <c r="O13" s="7"/>
      <c r="P13" s="7"/>
      <c r="Q13" s="7"/>
      <c r="R13" s="7"/>
      <c r="S13" s="7"/>
      <c r="T13" s="9"/>
      <c r="U13" s="7"/>
      <c r="V13" s="73"/>
      <c r="W13" s="73"/>
      <c r="X13" s="73"/>
      <c r="Y13" s="73"/>
      <c r="Z13" s="73"/>
      <c r="AA13" s="73"/>
    </row>
    <row r="14" spans="1:27" ht="15" customHeight="1">
      <c r="A14" s="73"/>
      <c r="B14" s="23"/>
      <c r="C14" s="23"/>
      <c r="D14" s="23"/>
      <c r="E14" s="23"/>
      <c r="F14" s="23"/>
      <c r="G14" s="23"/>
      <c r="H14" s="23"/>
      <c r="I14" s="23"/>
      <c r="J14" s="76"/>
      <c r="K14" s="9" t="s">
        <v>37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3"/>
      <c r="W14" s="73"/>
      <c r="X14" s="73"/>
      <c r="Y14" s="73"/>
      <c r="Z14" s="73"/>
      <c r="AA14" s="73"/>
    </row>
    <row r="15" spans="1:27" ht="15" customHeight="1" thickBot="1">
      <c r="A15" s="73"/>
      <c r="B15" s="179" t="s">
        <v>95</v>
      </c>
      <c r="C15" s="179"/>
      <c r="D15" s="179"/>
      <c r="E15" s="179"/>
      <c r="F15" s="179"/>
      <c r="G15" s="179"/>
      <c r="H15" s="179"/>
      <c r="I15" s="179"/>
      <c r="J15" s="76"/>
      <c r="K15" s="9" t="s">
        <v>96</v>
      </c>
      <c r="L15" s="7"/>
      <c r="M15" s="7"/>
      <c r="N15" s="7"/>
      <c r="O15" s="7"/>
      <c r="P15" s="7"/>
      <c r="Q15" s="7"/>
      <c r="R15" s="7"/>
      <c r="S15" s="7"/>
      <c r="T15" s="9"/>
      <c r="U15" s="7"/>
      <c r="V15" s="73"/>
      <c r="W15" s="73"/>
      <c r="X15" s="73"/>
      <c r="Y15" s="73"/>
      <c r="Z15" s="73"/>
      <c r="AA15" s="73"/>
    </row>
    <row r="16" spans="1:27" ht="15" customHeight="1">
      <c r="A16" s="73"/>
      <c r="B16" s="180" t="s">
        <v>7</v>
      </c>
      <c r="C16" s="181"/>
      <c r="D16" s="181"/>
      <c r="E16" s="181"/>
      <c r="F16" s="181"/>
      <c r="G16" s="181"/>
      <c r="H16" s="181"/>
      <c r="I16" s="182"/>
      <c r="J16" s="75" t="s">
        <v>97</v>
      </c>
      <c r="K16" s="24" t="s">
        <v>98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73"/>
      <c r="W16" s="73"/>
      <c r="X16" s="73"/>
      <c r="Y16" s="73"/>
      <c r="Z16" s="73"/>
      <c r="AA16" s="73"/>
    </row>
    <row r="17" spans="1:27" ht="15" customHeight="1">
      <c r="A17" s="73"/>
      <c r="B17" s="183"/>
      <c r="C17" s="184"/>
      <c r="D17" s="184"/>
      <c r="E17" s="184"/>
      <c r="F17" s="184"/>
      <c r="G17" s="184"/>
      <c r="H17" s="184"/>
      <c r="I17" s="185"/>
      <c r="J17" s="76"/>
      <c r="K17" s="26" t="s">
        <v>8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73"/>
      <c r="W17" s="73"/>
      <c r="X17" s="73"/>
      <c r="Y17" s="73"/>
      <c r="Z17" s="73"/>
      <c r="AA17" s="73"/>
    </row>
    <row r="18" spans="1:27" ht="15.75">
      <c r="A18" s="73"/>
      <c r="B18" s="186" t="s">
        <v>9</v>
      </c>
      <c r="C18" s="187"/>
      <c r="D18" s="187"/>
      <c r="E18" s="72" t="s">
        <v>99</v>
      </c>
      <c r="F18" s="71" t="s">
        <v>100</v>
      </c>
      <c r="G18" s="78" t="s">
        <v>101</v>
      </c>
      <c r="H18" s="79" t="s">
        <v>102</v>
      </c>
      <c r="I18" s="80" t="s">
        <v>103</v>
      </c>
      <c r="J18" s="76"/>
      <c r="K18" s="24" t="s">
        <v>38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73"/>
      <c r="W18" s="73"/>
      <c r="X18" s="73"/>
      <c r="Y18" s="73"/>
      <c r="Z18" s="73"/>
      <c r="AA18" s="73"/>
    </row>
    <row r="19" spans="1:27">
      <c r="A19" s="73"/>
      <c r="B19" s="10" t="s">
        <v>10</v>
      </c>
      <c r="C19" s="70" t="s">
        <v>11</v>
      </c>
      <c r="D19" s="69" t="s">
        <v>12</v>
      </c>
      <c r="E19" s="66" t="s">
        <v>41</v>
      </c>
      <c r="F19" s="65" t="s">
        <v>66</v>
      </c>
      <c r="G19" s="151" t="s">
        <v>20</v>
      </c>
      <c r="H19" s="81" t="s">
        <v>76</v>
      </c>
      <c r="I19" s="80" t="s">
        <v>104</v>
      </c>
      <c r="J19" s="75" t="s">
        <v>105</v>
      </c>
      <c r="K19" s="23" t="s">
        <v>106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73"/>
      <c r="W19" s="73"/>
      <c r="X19" s="73"/>
      <c r="Y19" s="73"/>
      <c r="Z19" s="73"/>
      <c r="AA19" s="73"/>
    </row>
    <row r="20" spans="1:27">
      <c r="A20" s="73"/>
      <c r="B20" s="13" t="s">
        <v>14</v>
      </c>
      <c r="C20" s="68" t="s">
        <v>15</v>
      </c>
      <c r="D20" s="67" t="s">
        <v>16</v>
      </c>
      <c r="E20" s="66" t="s">
        <v>17</v>
      </c>
      <c r="F20" s="65" t="s">
        <v>70</v>
      </c>
      <c r="G20" s="151" t="s">
        <v>70</v>
      </c>
      <c r="H20" s="79" t="s">
        <v>70</v>
      </c>
      <c r="I20" s="82" t="s">
        <v>70</v>
      </c>
      <c r="J20" s="76"/>
      <c r="K20" s="25" t="s">
        <v>107</v>
      </c>
      <c r="L20" s="28"/>
      <c r="M20" s="28"/>
      <c r="N20" s="28"/>
      <c r="O20" s="28"/>
      <c r="P20" s="28"/>
      <c r="Q20" s="28"/>
      <c r="R20" s="28"/>
      <c r="S20" s="28"/>
      <c r="T20" s="25"/>
      <c r="U20" s="28"/>
      <c r="V20" s="73"/>
      <c r="W20" s="73"/>
      <c r="X20" s="73"/>
      <c r="Y20" s="73"/>
      <c r="Z20" s="73"/>
      <c r="AA20" s="73"/>
    </row>
    <row r="21" spans="1:27" ht="15.75" thickBot="1">
      <c r="A21" s="73"/>
      <c r="B21" s="83">
        <f ca="1">TODAY()</f>
        <v>40260</v>
      </c>
      <c r="C21" s="84">
        <v>20</v>
      </c>
      <c r="D21" s="84">
        <v>50</v>
      </c>
      <c r="E21" s="85">
        <v>75</v>
      </c>
      <c r="F21" s="86">
        <v>10</v>
      </c>
      <c r="G21" s="86">
        <v>5</v>
      </c>
      <c r="H21" s="87">
        <v>1</v>
      </c>
      <c r="I21" s="188">
        <v>2</v>
      </c>
      <c r="J21" s="76"/>
      <c r="K21" s="77" t="s">
        <v>108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73"/>
      <c r="W21" s="73"/>
      <c r="X21" s="73"/>
      <c r="Y21" s="73"/>
      <c r="Z21" s="73"/>
      <c r="AA21" s="73"/>
    </row>
    <row r="22" spans="1:27">
      <c r="A22" s="73"/>
      <c r="B22" s="23"/>
      <c r="C22" s="23"/>
      <c r="D22" s="23"/>
      <c r="E22" s="23"/>
      <c r="F22" s="23"/>
      <c r="G22" s="23"/>
      <c r="H22" s="23"/>
      <c r="I22" s="189" t="s">
        <v>131</v>
      </c>
      <c r="J22" s="76"/>
      <c r="K22" s="8" t="s">
        <v>129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73"/>
      <c r="W22" s="73"/>
      <c r="X22" s="73"/>
      <c r="Y22" s="73"/>
      <c r="Z22" s="73"/>
      <c r="AA22" s="73"/>
    </row>
    <row r="23" spans="1:27" ht="15.75" thickBot="1">
      <c r="A23" s="73"/>
      <c r="B23" s="170" t="s">
        <v>109</v>
      </c>
      <c r="C23" s="170"/>
      <c r="D23" s="170"/>
      <c r="E23" s="170"/>
      <c r="F23" s="170"/>
      <c r="G23" s="170"/>
      <c r="H23" s="170"/>
      <c r="I23" s="190">
        <v>0.5</v>
      </c>
      <c r="J23" s="76"/>
      <c r="K23" s="8" t="s">
        <v>130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73"/>
      <c r="W23" s="73"/>
      <c r="X23" s="73"/>
      <c r="Y23" s="73"/>
      <c r="Z23" s="73"/>
      <c r="AA23" s="73"/>
    </row>
    <row r="24" spans="1:27">
      <c r="A24" s="73"/>
      <c r="B24" s="89" t="s">
        <v>110</v>
      </c>
      <c r="C24" s="89"/>
      <c r="D24" s="89"/>
      <c r="E24" s="89"/>
      <c r="F24" s="89"/>
      <c r="G24" s="89"/>
      <c r="H24" s="89"/>
      <c r="I24" s="1"/>
      <c r="J24" s="1"/>
      <c r="K24" s="1"/>
      <c r="L24" s="1"/>
      <c r="M24" s="1"/>
      <c r="N24" s="1"/>
      <c r="O24" s="1"/>
      <c r="P24" s="1"/>
      <c r="Q24" s="1"/>
      <c r="R24" s="1"/>
      <c r="S24" s="23"/>
      <c r="T24" s="23"/>
      <c r="U24" s="23"/>
      <c r="V24" s="73"/>
      <c r="W24" s="73"/>
      <c r="X24" s="73"/>
      <c r="Y24" s="73"/>
      <c r="Z24" s="73"/>
      <c r="AA24" s="73"/>
    </row>
    <row r="25" spans="1:27" ht="15.75" thickBot="1">
      <c r="A25" s="73"/>
      <c r="B25" s="171" t="s">
        <v>111</v>
      </c>
      <c r="C25" s="171"/>
      <c r="D25" s="171"/>
      <c r="E25" s="171"/>
      <c r="F25" s="171"/>
      <c r="G25" s="171"/>
      <c r="H25" s="171"/>
      <c r="I25" s="171"/>
      <c r="J25" s="171" t="s">
        <v>112</v>
      </c>
      <c r="K25" s="172"/>
      <c r="L25" s="173" t="s">
        <v>82</v>
      </c>
      <c r="M25" s="173"/>
      <c r="N25" s="173"/>
      <c r="O25" s="173"/>
      <c r="P25" s="174" t="s">
        <v>81</v>
      </c>
      <c r="Q25" s="174"/>
      <c r="R25" s="175" t="s">
        <v>43</v>
      </c>
      <c r="S25" s="175"/>
      <c r="T25" s="175"/>
      <c r="U25" s="175"/>
      <c r="V25" s="73"/>
      <c r="W25" s="73"/>
      <c r="X25" s="90"/>
      <c r="Y25" s="73"/>
      <c r="Z25" s="73"/>
      <c r="AA25" s="73"/>
    </row>
    <row r="26" spans="1:27" ht="15.75">
      <c r="A26" s="73"/>
      <c r="B26" s="159" t="s">
        <v>44</v>
      </c>
      <c r="C26" s="160"/>
      <c r="D26" s="160"/>
      <c r="E26" s="160"/>
      <c r="F26" s="160"/>
      <c r="G26" s="160"/>
      <c r="H26" s="91" t="s">
        <v>113</v>
      </c>
      <c r="I26" s="92"/>
      <c r="J26" s="159" t="s">
        <v>45</v>
      </c>
      <c r="K26" s="161"/>
      <c r="L26" s="162" t="s">
        <v>18</v>
      </c>
      <c r="M26" s="163"/>
      <c r="N26" s="163"/>
      <c r="O26" s="163"/>
      <c r="P26" s="164" t="s">
        <v>18</v>
      </c>
      <c r="Q26" s="165"/>
      <c r="R26" s="162" t="s">
        <v>18</v>
      </c>
      <c r="S26" s="163"/>
      <c r="T26" s="163"/>
      <c r="U26" s="165"/>
      <c r="V26" s="73"/>
      <c r="W26" s="73"/>
      <c r="X26" s="73"/>
      <c r="Y26" s="73"/>
      <c r="Z26" s="73"/>
      <c r="AA26" s="73"/>
    </row>
    <row r="27" spans="1:27" ht="15" customHeight="1">
      <c r="A27" s="73"/>
      <c r="B27" s="15"/>
      <c r="C27" s="16" t="s">
        <v>23</v>
      </c>
      <c r="D27" s="16" t="s">
        <v>46</v>
      </c>
      <c r="E27" s="16" t="s">
        <v>46</v>
      </c>
      <c r="F27" s="16" t="s">
        <v>46</v>
      </c>
      <c r="G27" s="16" t="s">
        <v>46</v>
      </c>
      <c r="H27" s="16" t="s">
        <v>40</v>
      </c>
      <c r="I27" s="16" t="s">
        <v>19</v>
      </c>
      <c r="J27" s="15" t="s">
        <v>114</v>
      </c>
      <c r="K27" s="93" t="s">
        <v>20</v>
      </c>
      <c r="L27" s="17" t="s">
        <v>47</v>
      </c>
      <c r="M27" s="11" t="s">
        <v>20</v>
      </c>
      <c r="N27" s="12" t="s">
        <v>21</v>
      </c>
      <c r="O27" s="29" t="s">
        <v>48</v>
      </c>
      <c r="P27" s="27" t="s">
        <v>22</v>
      </c>
      <c r="Q27" s="30" t="s">
        <v>11</v>
      </c>
      <c r="R27" s="94" t="s">
        <v>49</v>
      </c>
      <c r="S27" s="95" t="s">
        <v>50</v>
      </c>
      <c r="T27" s="96" t="s">
        <v>51</v>
      </c>
      <c r="U27" s="97" t="s">
        <v>52</v>
      </c>
      <c r="V27" s="73"/>
      <c r="W27" s="73"/>
      <c r="X27" s="73"/>
      <c r="Y27" s="73"/>
      <c r="Z27" s="73"/>
      <c r="AA27" s="73"/>
    </row>
    <row r="28" spans="1:27" ht="15" customHeight="1">
      <c r="A28" s="73"/>
      <c r="B28" s="18" t="s">
        <v>23</v>
      </c>
      <c r="C28" s="19" t="s">
        <v>53</v>
      </c>
      <c r="D28" s="19" t="s">
        <v>25</v>
      </c>
      <c r="E28" s="19" t="s">
        <v>26</v>
      </c>
      <c r="F28" s="19" t="s">
        <v>27</v>
      </c>
      <c r="G28" s="19" t="s">
        <v>24</v>
      </c>
      <c r="H28" s="19" t="s">
        <v>54</v>
      </c>
      <c r="I28" s="19" t="s">
        <v>13</v>
      </c>
      <c r="J28" s="15" t="s">
        <v>24</v>
      </c>
      <c r="K28" s="93" t="s">
        <v>58</v>
      </c>
      <c r="L28" s="20" t="s">
        <v>28</v>
      </c>
      <c r="M28" s="11" t="s">
        <v>24</v>
      </c>
      <c r="N28" s="12" t="s">
        <v>24</v>
      </c>
      <c r="O28" s="31" t="s">
        <v>55</v>
      </c>
      <c r="P28" s="32" t="s">
        <v>56</v>
      </c>
      <c r="Q28" s="33" t="s">
        <v>57</v>
      </c>
      <c r="R28" s="94" t="s">
        <v>59</v>
      </c>
      <c r="S28" s="95" t="s">
        <v>60</v>
      </c>
      <c r="T28" s="96" t="s">
        <v>80</v>
      </c>
      <c r="U28" s="97" t="s">
        <v>61</v>
      </c>
      <c r="V28" s="73"/>
      <c r="W28" s="73"/>
      <c r="X28" s="73"/>
      <c r="Y28" s="73"/>
      <c r="Z28" s="73"/>
      <c r="AA28" s="73"/>
    </row>
    <row r="29" spans="1:27" ht="15" customHeight="1">
      <c r="A29" s="73"/>
      <c r="B29" s="98" t="s">
        <v>29</v>
      </c>
      <c r="C29" s="99">
        <v>9.9</v>
      </c>
      <c r="D29" s="100">
        <v>40239</v>
      </c>
      <c r="E29" s="100">
        <v>40319</v>
      </c>
      <c r="F29" s="99">
        <v>10</v>
      </c>
      <c r="G29" s="99">
        <v>0.45</v>
      </c>
      <c r="H29" s="99" t="s">
        <v>63</v>
      </c>
      <c r="I29" s="101">
        <v>88</v>
      </c>
      <c r="J29" s="102">
        <v>9.2200000000000006</v>
      </c>
      <c r="K29" s="103">
        <v>1.1499999999999999</v>
      </c>
      <c r="L29" s="21" t="str">
        <f ca="1">IF(B29&gt;0,IF(($B$21-D29)&lt;14,"YES","NO"),"")</f>
        <v>NO</v>
      </c>
      <c r="M29" s="31">
        <f>IF(B29&gt;0,G29*$C$21/100,"")</f>
        <v>0.09</v>
      </c>
      <c r="N29" s="31">
        <f>IF(B29&gt;0,G29*$D$21/100,"")</f>
        <v>0.22500000000000001</v>
      </c>
      <c r="O29" s="31" t="str">
        <f ca="1">IF(K29&gt;0,IF(AND(K29/G29&lt;=0.2,L29="YES"),"YES","no")," ")</f>
        <v>no</v>
      </c>
      <c r="P29" s="104">
        <f>IF(B29&gt;0,C29-SQRT(1/12)*I29*C29/100*$E$21/100,"")</f>
        <v>8.0137966705574932</v>
      </c>
      <c r="Q29" s="34" t="str">
        <f>IF(J29&gt;0,IF(P29&gt;=J29,"YES","no"),"")</f>
        <v>no</v>
      </c>
      <c r="R29" s="105">
        <f>IF(F29+K29-J29&gt;0,F29+K29-J29,"")</f>
        <v>1.9299999999999997</v>
      </c>
      <c r="S29" s="106" t="str">
        <f ca="1">IF(J29&gt;0,IF(E29-$B$21&lt;=14,"YES","no"),"")</f>
        <v>no</v>
      </c>
      <c r="T29" s="106" t="str">
        <f>IF(B29&gt;0,IF(F29+G29&lt;(100+$H$21)*C29/100,"YES","no"),"")</f>
        <v>no</v>
      </c>
      <c r="U29" s="107" t="str">
        <f ca="1">IF(J29&gt;0,IF(R29&gt;0,IF(AND(R29&lt;0.21,S29="YES",T29="YES"),"YES","no"),"no"),"")</f>
        <v>no</v>
      </c>
      <c r="V29" s="73"/>
      <c r="W29" s="73"/>
      <c r="X29" s="73"/>
      <c r="Y29" s="73"/>
      <c r="Z29" s="73"/>
      <c r="AA29" s="73"/>
    </row>
    <row r="30" spans="1:27">
      <c r="A30" s="73"/>
      <c r="B30" s="108" t="s">
        <v>62</v>
      </c>
      <c r="C30" s="109">
        <v>75.27</v>
      </c>
      <c r="D30" s="110">
        <v>40211</v>
      </c>
      <c r="E30" s="110">
        <v>40375</v>
      </c>
      <c r="F30" s="109">
        <v>75</v>
      </c>
      <c r="G30" s="109">
        <v>0.86</v>
      </c>
      <c r="H30" s="109" t="s">
        <v>63</v>
      </c>
      <c r="I30" s="111">
        <v>24</v>
      </c>
      <c r="J30" s="102">
        <v>67.040000000000006</v>
      </c>
      <c r="K30" s="103">
        <v>0.39</v>
      </c>
      <c r="L30" s="21" t="str">
        <f t="shared" ref="L30:L34" ca="1" si="0">IF(B30&gt;0,IF(($B$21-D30)&lt;14,"YES","NO"),"")</f>
        <v>NO</v>
      </c>
      <c r="M30" s="35">
        <f t="shared" ref="M30:M34" si="1">IF(B30&gt;0,G30*$C$21/100,"")</f>
        <v>0.17199999999999999</v>
      </c>
      <c r="N30" s="35">
        <f t="shared" ref="N30:N34" si="2">IF(B30&gt;0,G30*$D$21/100,"")</f>
        <v>0.43</v>
      </c>
      <c r="O30" s="35" t="str">
        <f t="shared" ref="O30:O34" ca="1" si="3">IF(K30&gt;0,IF(AND(K30/G30&lt;=0.2,L30="YES"),"YES","no")," ")</f>
        <v>no</v>
      </c>
      <c r="P30" s="112">
        <f t="shared" ref="P30:P34" si="4">IF(B30&gt;0,C30-SQRT(1/12)*I30*C30/100*$E$21/100,"")</f>
        <v>71.358856071428718</v>
      </c>
      <c r="Q30" s="36" t="str">
        <f t="shared" ref="Q30:Q34" si="5">IF(J30&gt;0,IF(P30&gt;=J30,"YES","no"),"")</f>
        <v>YES</v>
      </c>
      <c r="R30" s="105">
        <f t="shared" ref="R30:R34" si="6">IF(F30+K30-J30&gt;0,F30+K30-J30,"")</f>
        <v>8.3499999999999943</v>
      </c>
      <c r="S30" s="106" t="str">
        <f t="shared" ref="S30:S34" ca="1" si="7">IF(J30&gt;0,IF(E30-$B$21&lt;=14,"YES","no"),"")</f>
        <v>no</v>
      </c>
      <c r="T30" s="106" t="str">
        <f t="shared" ref="T30:T34" si="8">IF(B30&gt;0,IF(F30+G30&lt;(100+$H$21)*C30/100,"YES","no"),"")</f>
        <v>YES</v>
      </c>
      <c r="U30" s="107" t="str">
        <f t="shared" ref="U30:U34" ca="1" si="9">IF(J30&gt;0,IF(R30&gt;0,IF(AND(R30&lt;0.21,S30="YES",T30="YES"),"YES","no"),"no"),"")</f>
        <v>no</v>
      </c>
      <c r="V30" s="73"/>
      <c r="W30" s="73"/>
      <c r="X30" s="73"/>
      <c r="Y30" s="73"/>
      <c r="Z30" s="73"/>
      <c r="AA30" s="73"/>
    </row>
    <row r="31" spans="1:27">
      <c r="A31" s="73"/>
      <c r="B31" s="108" t="s">
        <v>65</v>
      </c>
      <c r="C31" s="109">
        <v>18.260000000000002</v>
      </c>
      <c r="D31" s="110">
        <v>40217</v>
      </c>
      <c r="E31" s="110">
        <v>40317</v>
      </c>
      <c r="F31" s="109">
        <v>17.5</v>
      </c>
      <c r="G31" s="109">
        <v>1.6</v>
      </c>
      <c r="H31" s="109" t="s">
        <v>63</v>
      </c>
      <c r="I31" s="111">
        <v>50</v>
      </c>
      <c r="J31" s="102">
        <v>20.75</v>
      </c>
      <c r="K31" s="103">
        <v>3.9</v>
      </c>
      <c r="L31" s="21" t="str">
        <f t="shared" ca="1" si="0"/>
        <v>NO</v>
      </c>
      <c r="M31" s="35">
        <f t="shared" si="1"/>
        <v>0.32</v>
      </c>
      <c r="N31" s="35">
        <f t="shared" si="2"/>
        <v>0.8</v>
      </c>
      <c r="O31" s="35" t="str">
        <f t="shared" ca="1" si="3"/>
        <v>no</v>
      </c>
      <c r="P31" s="112">
        <f t="shared" si="4"/>
        <v>16.283297015862018</v>
      </c>
      <c r="Q31" s="36" t="str">
        <f t="shared" si="5"/>
        <v>no</v>
      </c>
      <c r="R31" s="105">
        <f t="shared" si="6"/>
        <v>0.64999999999999858</v>
      </c>
      <c r="S31" s="106" t="str">
        <f t="shared" ca="1" si="7"/>
        <v>no</v>
      </c>
      <c r="T31" s="106" t="str">
        <f t="shared" si="8"/>
        <v>no</v>
      </c>
      <c r="U31" s="107" t="str">
        <f t="shared" ca="1" si="9"/>
        <v>no</v>
      </c>
      <c r="V31" s="73"/>
      <c r="W31" s="73"/>
      <c r="X31" s="73"/>
      <c r="Y31" s="73"/>
      <c r="Z31" s="73"/>
      <c r="AA31" s="73"/>
    </row>
    <row r="32" spans="1:27">
      <c r="A32" s="73"/>
      <c r="B32" s="108" t="s">
        <v>64</v>
      </c>
      <c r="C32" s="109">
        <v>17.600000000000001</v>
      </c>
      <c r="D32" s="110">
        <v>40234</v>
      </c>
      <c r="E32" s="110">
        <v>40284</v>
      </c>
      <c r="F32" s="109">
        <v>18</v>
      </c>
      <c r="G32" s="109">
        <v>0.45</v>
      </c>
      <c r="H32" s="109" t="s">
        <v>63</v>
      </c>
      <c r="I32" s="111">
        <v>27</v>
      </c>
      <c r="J32" s="102">
        <v>16.91</v>
      </c>
      <c r="K32" s="103">
        <v>0.1</v>
      </c>
      <c r="L32" s="21" t="str">
        <f t="shared" ca="1" si="0"/>
        <v>NO</v>
      </c>
      <c r="M32" s="35">
        <f t="shared" si="1"/>
        <v>0.09</v>
      </c>
      <c r="N32" s="35">
        <f t="shared" si="2"/>
        <v>0.22500000000000001</v>
      </c>
      <c r="O32" s="35" t="str">
        <f t="shared" ca="1" si="3"/>
        <v>no</v>
      </c>
      <c r="P32" s="112">
        <f t="shared" si="4"/>
        <v>16.571161820304088</v>
      </c>
      <c r="Q32" s="36" t="str">
        <f t="shared" si="5"/>
        <v>no</v>
      </c>
      <c r="R32" s="105">
        <f t="shared" si="6"/>
        <v>1.1900000000000013</v>
      </c>
      <c r="S32" s="106" t="str">
        <f t="shared" ca="1" si="7"/>
        <v>no</v>
      </c>
      <c r="T32" s="106" t="str">
        <f t="shared" si="8"/>
        <v>no</v>
      </c>
      <c r="U32" s="107" t="str">
        <f t="shared" ca="1" si="9"/>
        <v>no</v>
      </c>
      <c r="V32" s="73"/>
      <c r="W32" s="73"/>
      <c r="X32" s="73"/>
      <c r="Y32" s="73"/>
      <c r="Z32" s="73"/>
      <c r="AA32" s="73"/>
    </row>
    <row r="33" spans="1:27">
      <c r="A33" s="73"/>
      <c r="B33" s="108"/>
      <c r="C33" s="109"/>
      <c r="D33" s="110"/>
      <c r="E33" s="110"/>
      <c r="F33" s="109"/>
      <c r="G33" s="109"/>
      <c r="H33" s="109"/>
      <c r="I33" s="111"/>
      <c r="J33" s="102"/>
      <c r="K33" s="103"/>
      <c r="L33" s="21" t="str">
        <f t="shared" si="0"/>
        <v/>
      </c>
      <c r="M33" s="35" t="str">
        <f t="shared" si="1"/>
        <v/>
      </c>
      <c r="N33" s="35" t="str">
        <f t="shared" si="2"/>
        <v/>
      </c>
      <c r="O33" s="35" t="str">
        <f t="shared" si="3"/>
        <v xml:space="preserve"> </v>
      </c>
      <c r="P33" s="112" t="str">
        <f t="shared" si="4"/>
        <v/>
      </c>
      <c r="Q33" s="36" t="str">
        <f t="shared" si="5"/>
        <v/>
      </c>
      <c r="R33" s="105" t="str">
        <f t="shared" si="6"/>
        <v/>
      </c>
      <c r="S33" s="106" t="str">
        <f t="shared" si="7"/>
        <v/>
      </c>
      <c r="T33" s="106" t="str">
        <f t="shared" si="8"/>
        <v/>
      </c>
      <c r="U33" s="107" t="str">
        <f t="shared" si="9"/>
        <v/>
      </c>
      <c r="V33" s="73"/>
      <c r="W33" s="73"/>
      <c r="X33" s="73"/>
      <c r="Y33" s="73"/>
      <c r="Z33" s="73"/>
      <c r="AA33" s="73"/>
    </row>
    <row r="34" spans="1:27" ht="15.75" thickBot="1">
      <c r="A34" s="73"/>
      <c r="B34" s="113"/>
      <c r="C34" s="114"/>
      <c r="D34" s="115"/>
      <c r="E34" s="115"/>
      <c r="F34" s="114"/>
      <c r="G34" s="114"/>
      <c r="H34" s="114"/>
      <c r="I34" s="116"/>
      <c r="J34" s="117"/>
      <c r="K34" s="118"/>
      <c r="L34" s="22" t="str">
        <f t="shared" si="0"/>
        <v/>
      </c>
      <c r="M34" s="37" t="str">
        <f t="shared" si="1"/>
        <v/>
      </c>
      <c r="N34" s="37" t="str">
        <f t="shared" si="2"/>
        <v/>
      </c>
      <c r="O34" s="37" t="str">
        <f t="shared" si="3"/>
        <v xml:space="preserve"> </v>
      </c>
      <c r="P34" s="119" t="str">
        <f t="shared" si="4"/>
        <v/>
      </c>
      <c r="Q34" s="38" t="str">
        <f t="shared" si="5"/>
        <v/>
      </c>
      <c r="R34" s="120" t="str">
        <f t="shared" si="6"/>
        <v/>
      </c>
      <c r="S34" s="121" t="str">
        <f t="shared" si="7"/>
        <v/>
      </c>
      <c r="T34" s="121" t="str">
        <f t="shared" si="8"/>
        <v/>
      </c>
      <c r="U34" s="122" t="str">
        <f t="shared" si="9"/>
        <v/>
      </c>
      <c r="V34" s="73"/>
      <c r="W34" s="73"/>
      <c r="X34" s="73"/>
      <c r="Y34" s="73"/>
      <c r="Z34" s="73"/>
      <c r="AA34" s="73"/>
    </row>
    <row r="35" spans="1:27">
      <c r="A35" s="73"/>
      <c r="B35" s="123"/>
      <c r="C35" s="124"/>
      <c r="D35" s="125"/>
      <c r="E35" s="125"/>
      <c r="F35" s="123"/>
      <c r="G35" s="124"/>
      <c r="H35" s="123"/>
      <c r="I35" s="123"/>
      <c r="J35" s="126"/>
      <c r="K35" s="126"/>
      <c r="L35" s="126"/>
      <c r="M35" s="23"/>
      <c r="N35" s="23"/>
      <c r="O35" s="23"/>
      <c r="P35" s="23"/>
      <c r="Q35" s="23"/>
      <c r="R35" s="23"/>
      <c r="S35" s="23"/>
      <c r="T35" s="23"/>
      <c r="U35" s="23"/>
      <c r="V35" s="73"/>
      <c r="W35" s="73"/>
      <c r="X35" s="73"/>
      <c r="Y35" s="73"/>
      <c r="Z35" s="73"/>
      <c r="AA35" s="73"/>
    </row>
    <row r="36" spans="1:27" ht="15.75" thickBot="1">
      <c r="A36" s="73"/>
      <c r="B36" s="166" t="s">
        <v>115</v>
      </c>
      <c r="C36" s="166"/>
      <c r="D36" s="166"/>
      <c r="E36" s="166"/>
      <c r="F36" s="166"/>
      <c r="G36" s="166"/>
      <c r="H36" s="166"/>
      <c r="I36" s="166"/>
      <c r="J36" s="167" t="s">
        <v>79</v>
      </c>
      <c r="K36" s="167"/>
      <c r="L36" s="167"/>
      <c r="M36" s="167"/>
      <c r="N36" s="167"/>
      <c r="O36" s="167"/>
      <c r="P36" s="167"/>
      <c r="Q36" s="168" t="s">
        <v>116</v>
      </c>
      <c r="R36" s="169"/>
      <c r="S36" s="169"/>
      <c r="T36" s="169"/>
      <c r="U36" s="169"/>
      <c r="V36" s="73"/>
      <c r="W36" s="73"/>
      <c r="X36" s="73"/>
      <c r="Y36" s="73"/>
      <c r="Z36" s="73"/>
      <c r="AA36" s="73"/>
    </row>
    <row r="37" spans="1:27">
      <c r="A37" s="73"/>
      <c r="B37" s="63"/>
      <c r="C37" s="154" t="s">
        <v>75</v>
      </c>
      <c r="D37" s="155"/>
      <c r="E37" s="156"/>
      <c r="F37" s="157" t="s">
        <v>74</v>
      </c>
      <c r="G37" s="157"/>
      <c r="H37" s="157"/>
      <c r="I37" s="158"/>
      <c r="J37" s="39"/>
      <c r="K37" s="64" t="s">
        <v>76</v>
      </c>
      <c r="L37" s="64" t="s">
        <v>78</v>
      </c>
      <c r="M37" s="64" t="s">
        <v>77</v>
      </c>
      <c r="N37" s="64" t="s">
        <v>77</v>
      </c>
      <c r="O37" s="64" t="s">
        <v>76</v>
      </c>
      <c r="P37" s="64" t="s">
        <v>40</v>
      </c>
      <c r="Q37" s="127" t="s">
        <v>20</v>
      </c>
      <c r="R37" s="128" t="s">
        <v>117</v>
      </c>
      <c r="S37" s="128" t="s">
        <v>118</v>
      </c>
      <c r="T37" s="128" t="s">
        <v>39</v>
      </c>
      <c r="U37" s="129"/>
      <c r="V37" s="73"/>
      <c r="W37" s="73"/>
      <c r="X37" s="73"/>
      <c r="Y37" s="73"/>
      <c r="Z37" s="73"/>
    </row>
    <row r="38" spans="1:27">
      <c r="A38" s="73"/>
      <c r="B38" s="62"/>
      <c r="C38" s="61" t="s">
        <v>72</v>
      </c>
      <c r="D38" s="59" t="s">
        <v>67</v>
      </c>
      <c r="E38" s="60" t="s">
        <v>73</v>
      </c>
      <c r="F38" s="59" t="s">
        <v>72</v>
      </c>
      <c r="G38" s="59" t="s">
        <v>72</v>
      </c>
      <c r="H38" s="59" t="s">
        <v>71</v>
      </c>
      <c r="I38" s="58" t="s">
        <v>71</v>
      </c>
      <c r="J38" s="40"/>
      <c r="K38" s="56" t="s">
        <v>40</v>
      </c>
      <c r="L38" s="56" t="s">
        <v>46</v>
      </c>
      <c r="M38" s="56" t="s">
        <v>46</v>
      </c>
      <c r="N38" s="56" t="s">
        <v>40</v>
      </c>
      <c r="O38" s="56" t="s">
        <v>20</v>
      </c>
      <c r="P38" s="56" t="s">
        <v>20</v>
      </c>
      <c r="Q38" s="130" t="s">
        <v>119</v>
      </c>
      <c r="R38" s="152" t="s">
        <v>120</v>
      </c>
      <c r="S38" s="152" t="s">
        <v>121</v>
      </c>
      <c r="T38" s="152" t="s">
        <v>121</v>
      </c>
      <c r="U38" s="82" t="s">
        <v>122</v>
      </c>
      <c r="V38" s="73"/>
      <c r="W38" s="73"/>
      <c r="X38" s="73"/>
      <c r="Y38" s="73"/>
      <c r="Z38" s="73"/>
    </row>
    <row r="39" spans="1:27">
      <c r="A39" s="73"/>
      <c r="B39" s="55" t="s">
        <v>23</v>
      </c>
      <c r="C39" s="54" t="s">
        <v>68</v>
      </c>
      <c r="D39" s="52" t="s">
        <v>68</v>
      </c>
      <c r="E39" s="53" t="s">
        <v>69</v>
      </c>
      <c r="F39" s="52" t="s">
        <v>68</v>
      </c>
      <c r="G39" s="52" t="s">
        <v>67</v>
      </c>
      <c r="H39" s="52" t="s">
        <v>68</v>
      </c>
      <c r="I39" s="51" t="s">
        <v>67</v>
      </c>
      <c r="J39" s="41" t="s">
        <v>23</v>
      </c>
      <c r="K39" s="57" t="s">
        <v>70</v>
      </c>
      <c r="L39" s="57" t="s">
        <v>24</v>
      </c>
      <c r="M39" s="57" t="s">
        <v>24</v>
      </c>
      <c r="N39" s="57" t="s">
        <v>42</v>
      </c>
      <c r="O39" s="56" t="s">
        <v>42</v>
      </c>
      <c r="P39" s="56" t="s">
        <v>24</v>
      </c>
      <c r="Q39" s="130" t="s">
        <v>123</v>
      </c>
      <c r="R39" s="152" t="s">
        <v>124</v>
      </c>
      <c r="S39" s="152" t="s">
        <v>68</v>
      </c>
      <c r="T39" s="152" t="s">
        <v>68</v>
      </c>
      <c r="U39" s="82" t="s">
        <v>125</v>
      </c>
      <c r="V39" s="73"/>
      <c r="W39" s="73"/>
      <c r="X39" s="73"/>
      <c r="Y39" s="73"/>
      <c r="Z39" s="73"/>
    </row>
    <row r="40" spans="1:27">
      <c r="A40" s="73"/>
      <c r="B40" s="139" t="str">
        <f>IF(B29&gt;0,B29,"")</f>
        <v>SMRT</v>
      </c>
      <c r="C40" s="191" t="str">
        <f>IF(C29&gt;F29,((G29-G29*$I$23*0.01)-(C29-F29))/C29,"")</f>
        <v/>
      </c>
      <c r="D40" s="131" t="str">
        <f>IF(B29&gt;0,IF(C29&gt;=F29,C40*365/(E29-D29),""),"")</f>
        <v/>
      </c>
      <c r="E40" s="132" t="str">
        <f>IF(C29&gt;F29,(G29-(C29-F29))/C29,"")</f>
        <v/>
      </c>
      <c r="F40" s="131">
        <f>IF(C29&lt;F29,((G29-G29*$I$23*0.01)+F29-C29)/C29,"")</f>
        <v>5.5328282828282713E-2</v>
      </c>
      <c r="G40" s="131">
        <f>IF(C29&lt;F29,F40*365/(E29-D29),"")</f>
        <v>0.25243529040403989</v>
      </c>
      <c r="H40" s="131">
        <f>IF(C29&lt;F29,(G29-G29*$I$23*0.01)/C29,"")</f>
        <v>4.5227272727272727E-2</v>
      </c>
      <c r="I40" s="133">
        <f>IF(C29&lt;F29,H40*365/(E29-D29),"")</f>
        <v>0.20634943181818183</v>
      </c>
      <c r="J40" s="43" t="str">
        <f>IF(H29="yes",B29,"")</f>
        <v/>
      </c>
      <c r="K40" s="50" t="str">
        <f>IF(H29="yes",$F$21/100,"")</f>
        <v/>
      </c>
      <c r="L40" s="49" t="str">
        <f>IF(H29="yes",C29*K40,"")</f>
        <v/>
      </c>
      <c r="M40" s="48" t="str">
        <f>IF(H29="yes",G29,"")</f>
        <v/>
      </c>
      <c r="N40" s="42" t="str">
        <f>IF(H29="YES",G29/C29,"")</f>
        <v/>
      </c>
      <c r="O40" s="42" t="str">
        <f>IF(H29="YES",$G$21/100,"")</f>
        <v/>
      </c>
      <c r="P40" s="134" t="str">
        <f>IF(H29="YES",$G$21*C29/100,"")</f>
        <v/>
      </c>
      <c r="Q40" s="135">
        <f>IF(B29&gt;0,J29-K29,"")</f>
        <v>8.07</v>
      </c>
      <c r="R40" s="136">
        <f>IF(C29&gt;0,(J29-J29*$I$23*0.01)-K29-C29,"")</f>
        <v>-1.8760999999999992</v>
      </c>
      <c r="S40" s="137">
        <f>IF(C29&gt;0,R40/C29,"")</f>
        <v>-0.18950505050505043</v>
      </c>
      <c r="T40" s="137">
        <f ca="1">IF(C29&gt;0,S40*30/($B$21-D29),"")</f>
        <v>-0.27072150072150059</v>
      </c>
      <c r="U40" s="138" t="str">
        <f ca="1">IF(B29&gt;0,IF(T40&gt;=$I$21*0.01,"YES","no"),"")</f>
        <v>no</v>
      </c>
      <c r="V40" s="73"/>
      <c r="W40" s="73"/>
      <c r="X40" s="73"/>
      <c r="Y40" s="73"/>
      <c r="Z40" s="73"/>
    </row>
    <row r="41" spans="1:27">
      <c r="A41" s="73"/>
      <c r="B41" s="139" t="str">
        <f t="shared" ref="B41:B44" si="10">IF(B30&gt;0,B30,"")</f>
        <v>XOM</v>
      </c>
      <c r="C41" s="140">
        <f>IF(C30&gt;F30,((G30-G30*$I$23*0.01)-(C30-F30))/C30,"")</f>
        <v>7.7813205792480935E-3</v>
      </c>
      <c r="D41" s="131">
        <f t="shared" ref="D41" si="11">IF(B30&gt;0,IF(C30&gt;=F30,C41*365/(E30-D30),""),"")</f>
        <v>1.7318182996497282E-2</v>
      </c>
      <c r="E41" s="132">
        <f t="shared" ref="E41:E45" si="12">IF(C30&gt;F30,(G30-(C30-F30))/C30,"")</f>
        <v>7.8384482529560776E-3</v>
      </c>
      <c r="F41" s="131" t="str">
        <f>IF(C30&lt;F30,((G30-G30*$I$23*0.01)+F30-C30)/C30,"")</f>
        <v/>
      </c>
      <c r="G41" s="131" t="str">
        <f t="shared" ref="G41:G45" si="13">IF(C30&lt;F30,F41*365/(E30-D30),"")</f>
        <v/>
      </c>
      <c r="H41" s="131" t="str">
        <f>IF(C30&lt;F30,(G30-G30*$I$23*0.01)/C30,"")</f>
        <v/>
      </c>
      <c r="I41" s="133" t="str">
        <f t="shared" ref="I41:I45" si="14">IF(C30&lt;F30,H41*365/(E30-D30),"")</f>
        <v/>
      </c>
      <c r="J41" s="43" t="str">
        <f t="shared" ref="J41:J45" si="15">IF(H30="yes",B30,"")</f>
        <v/>
      </c>
      <c r="K41" s="42" t="str">
        <f t="shared" ref="K41:K44" si="16">IF(H30="yes",$F$21/100,"")</f>
        <v/>
      </c>
      <c r="L41" s="49" t="str">
        <f t="shared" ref="L41:L45" si="17">IF(H30="yes",C30*K41,"")</f>
        <v/>
      </c>
      <c r="M41" s="48" t="str">
        <f t="shared" ref="M41:M45" si="18">IF(H30="yes",G30,"")</f>
        <v/>
      </c>
      <c r="N41" s="42" t="str">
        <f t="shared" ref="N41:N45" si="19">IF(H30="YES",G30/C30,"")</f>
        <v/>
      </c>
      <c r="O41" s="42" t="str">
        <f t="shared" ref="O41:O45" si="20">IF(H30="YES",$G$21/100,"")</f>
        <v/>
      </c>
      <c r="P41" s="134" t="str">
        <f t="shared" ref="P41:P45" si="21">IF(H30="YES",$G$21*C30/100,"")</f>
        <v/>
      </c>
      <c r="Q41" s="135">
        <f t="shared" ref="Q41:Q45" si="22">IF(B30&gt;0,J30-K30,"")</f>
        <v>66.650000000000006</v>
      </c>
      <c r="R41" s="136">
        <f>IF(C30&gt;0,(J30-J30*$I$23*0.01)-K30-C30,"")</f>
        <v>-8.9551999999999907</v>
      </c>
      <c r="S41" s="137">
        <f t="shared" ref="S41:S45" si="23">IF(C30&gt;0,R41/C30,"")</f>
        <v>-0.11897435897435886</v>
      </c>
      <c r="T41" s="137">
        <f t="shared" ref="T41:T45" ca="1" si="24">IF(C30&gt;0,S41*30/($B$21-D30),"")</f>
        <v>-7.2841444270015626E-2</v>
      </c>
      <c r="U41" s="138" t="str">
        <f t="shared" ref="U41:U45" ca="1" si="25">IF(B30&gt;0,IF(T41&gt;=$I$21*0.01,"YES","no"),"")</f>
        <v>no</v>
      </c>
      <c r="V41" s="73"/>
      <c r="W41" s="73"/>
      <c r="X41" s="73"/>
      <c r="Y41" s="73"/>
      <c r="Z41" s="73"/>
    </row>
    <row r="42" spans="1:27">
      <c r="A42" s="73"/>
      <c r="B42" s="139" t="str">
        <f t="shared" si="10"/>
        <v>TIN</v>
      </c>
      <c r="C42" s="140">
        <f>IF(C31&gt;F31,((G31-G31*$I$23*0.01)-(C31-F31))/C31,"")</f>
        <v>4.5564074479737045E-2</v>
      </c>
      <c r="D42" s="131">
        <f>IF(B31&gt;0,IF(C31&gt;=F31,C42*365/(E31-D31),""),"")</f>
        <v>0.16630887185104024</v>
      </c>
      <c r="E42" s="132">
        <f t="shared" si="12"/>
        <v>4.6002190580503748E-2</v>
      </c>
      <c r="F42" s="131" t="str">
        <f>IF(C31&lt;F31,((G31-G31*$I$23*0.01)+F31-C31)/C31,"")</f>
        <v/>
      </c>
      <c r="G42" s="131" t="str">
        <f t="shared" si="13"/>
        <v/>
      </c>
      <c r="H42" s="131" t="str">
        <f>IF(C31&lt;F31,(G31-G31*$I$23*0.01)/C31,"")</f>
        <v/>
      </c>
      <c r="I42" s="133" t="str">
        <f t="shared" si="14"/>
        <v/>
      </c>
      <c r="J42" s="43" t="str">
        <f t="shared" si="15"/>
        <v/>
      </c>
      <c r="K42" s="42" t="str">
        <f t="shared" si="16"/>
        <v/>
      </c>
      <c r="L42" s="49" t="str">
        <f t="shared" si="17"/>
        <v/>
      </c>
      <c r="M42" s="48" t="str">
        <f t="shared" si="18"/>
        <v/>
      </c>
      <c r="N42" s="42" t="str">
        <f t="shared" si="19"/>
        <v/>
      </c>
      <c r="O42" s="42" t="str">
        <f t="shared" si="20"/>
        <v/>
      </c>
      <c r="P42" s="134" t="str">
        <f t="shared" si="21"/>
        <v/>
      </c>
      <c r="Q42" s="135">
        <f t="shared" si="22"/>
        <v>16.850000000000001</v>
      </c>
      <c r="R42" s="136">
        <f>IF(C31&gt;0,(J31-J31*$I$23*0.01)-K31-C31,"")</f>
        <v>-1.5137500000000017</v>
      </c>
      <c r="S42" s="137">
        <f t="shared" si="23"/>
        <v>-8.2899780941949705E-2</v>
      </c>
      <c r="T42" s="137">
        <f t="shared" ca="1" si="24"/>
        <v>-5.7837056471127704E-2</v>
      </c>
      <c r="U42" s="138" t="str">
        <f t="shared" ca="1" si="25"/>
        <v>no</v>
      </c>
      <c r="V42" s="73"/>
      <c r="W42" s="73"/>
      <c r="X42" s="73"/>
      <c r="Y42" s="73"/>
      <c r="Z42" s="73"/>
    </row>
    <row r="43" spans="1:27">
      <c r="A43" s="73"/>
      <c r="B43" s="139" t="str">
        <f t="shared" si="10"/>
        <v>PFE</v>
      </c>
      <c r="C43" s="140" t="str">
        <f>IF(C32&gt;F32,((G32-G32*$I$23*0.01)-(C32-F32))/C32,"")</f>
        <v/>
      </c>
      <c r="D43" s="131" t="str">
        <f t="shared" ref="D43:D44" si="26">IF(B32&gt;0,IF(C32&gt;=F32,C43*365/(E32-D32),""),"")</f>
        <v/>
      </c>
      <c r="E43" s="132" t="str">
        <f t="shared" si="12"/>
        <v/>
      </c>
      <c r="F43" s="131">
        <f>IF(C32&lt;F32,((G32-G32*$I$23*0.01)+F32-C32)/C32,"")</f>
        <v>4.8167613636363509E-2</v>
      </c>
      <c r="G43" s="131">
        <f t="shared" si="13"/>
        <v>0.35162357954545365</v>
      </c>
      <c r="H43" s="131">
        <f>IF(C32&lt;F32,(G32-G32*$I$23*0.01)/C32,"")</f>
        <v>2.5440340909090909E-2</v>
      </c>
      <c r="I43" s="133">
        <f t="shared" si="14"/>
        <v>0.18571448863636364</v>
      </c>
      <c r="J43" s="43" t="str">
        <f t="shared" si="15"/>
        <v/>
      </c>
      <c r="K43" s="42" t="str">
        <f t="shared" si="16"/>
        <v/>
      </c>
      <c r="L43" s="49" t="str">
        <f t="shared" si="17"/>
        <v/>
      </c>
      <c r="M43" s="48" t="str">
        <f t="shared" si="18"/>
        <v/>
      </c>
      <c r="N43" s="42" t="str">
        <f t="shared" si="19"/>
        <v/>
      </c>
      <c r="O43" s="42" t="str">
        <f t="shared" si="20"/>
        <v/>
      </c>
      <c r="P43" s="134" t="str">
        <f t="shared" si="21"/>
        <v/>
      </c>
      <c r="Q43" s="135">
        <f t="shared" si="22"/>
        <v>16.809999999999999</v>
      </c>
      <c r="R43" s="136">
        <f>IF(C32&gt;0,(J32-J32*$I$23*0.01)-K32-C32,"")</f>
        <v>-0.87455000000000283</v>
      </c>
      <c r="S43" s="137">
        <f t="shared" si="23"/>
        <v>-4.9690340909091066E-2</v>
      </c>
      <c r="T43" s="137">
        <f t="shared" ca="1" si="24"/>
        <v>-5.7335008741258922E-2</v>
      </c>
      <c r="U43" s="138" t="str">
        <f t="shared" ca="1" si="25"/>
        <v>no</v>
      </c>
      <c r="V43" s="73"/>
      <c r="W43" s="73"/>
      <c r="X43" s="73"/>
      <c r="Y43" s="73"/>
      <c r="Z43" s="73"/>
    </row>
    <row r="44" spans="1:27">
      <c r="A44" s="73"/>
      <c r="B44" s="139" t="str">
        <f t="shared" si="10"/>
        <v/>
      </c>
      <c r="C44" s="140" t="str">
        <f>IF(C33&gt;F33,((G33-G33*$I$23*0.01)-(C33-F33))/C33,"")</f>
        <v/>
      </c>
      <c r="D44" s="131" t="str">
        <f t="shared" si="26"/>
        <v/>
      </c>
      <c r="E44" s="132" t="str">
        <f t="shared" si="12"/>
        <v/>
      </c>
      <c r="F44" s="131" t="str">
        <f>IF(C33&lt;F33,((G33-G33*$I$23*0.01)+F33-C33)/C33,"")</f>
        <v/>
      </c>
      <c r="G44" s="131" t="str">
        <f t="shared" si="13"/>
        <v/>
      </c>
      <c r="H44" s="131" t="str">
        <f>IF(C33&lt;F33,(G33-G33*$I$23*0.01)/C33,"")</f>
        <v/>
      </c>
      <c r="I44" s="133" t="str">
        <f t="shared" si="14"/>
        <v/>
      </c>
      <c r="J44" s="43" t="str">
        <f t="shared" si="15"/>
        <v/>
      </c>
      <c r="K44" s="42" t="str">
        <f t="shared" si="16"/>
        <v/>
      </c>
      <c r="L44" s="49" t="str">
        <f t="shared" si="17"/>
        <v/>
      </c>
      <c r="M44" s="48" t="str">
        <f t="shared" si="18"/>
        <v/>
      </c>
      <c r="N44" s="42" t="str">
        <f t="shared" si="19"/>
        <v/>
      </c>
      <c r="O44" s="42" t="str">
        <f t="shared" si="20"/>
        <v/>
      </c>
      <c r="P44" s="134" t="str">
        <f t="shared" si="21"/>
        <v/>
      </c>
      <c r="Q44" s="135" t="str">
        <f t="shared" si="22"/>
        <v/>
      </c>
      <c r="R44" s="136" t="str">
        <f>IF(C33&gt;0,(J33-J33*$I$23*0.01)-K33-C33,"")</f>
        <v/>
      </c>
      <c r="S44" s="137" t="str">
        <f t="shared" si="23"/>
        <v/>
      </c>
      <c r="T44" s="137" t="str">
        <f t="shared" si="24"/>
        <v/>
      </c>
      <c r="U44" s="138" t="str">
        <f t="shared" si="25"/>
        <v/>
      </c>
      <c r="V44" s="73"/>
      <c r="W44" s="73"/>
      <c r="X44" s="73"/>
      <c r="Y44" s="73"/>
      <c r="Z44" s="73"/>
    </row>
    <row r="45" spans="1:27" ht="15.75" thickBot="1">
      <c r="A45" s="73"/>
      <c r="B45" s="141" t="str">
        <f>IF(B34&gt;0,B34,"")</f>
        <v/>
      </c>
      <c r="C45" s="192" t="str">
        <f>IF(C34&gt;F34,((G34-G34*$I$23*0.01)-(C34-F34))/C34,"")</f>
        <v/>
      </c>
      <c r="D45" s="142" t="str">
        <f>IF(B34&gt;0,IF(C34&gt;=F34,C40*365/(E34-D34),""),"")</f>
        <v/>
      </c>
      <c r="E45" s="143" t="str">
        <f t="shared" si="12"/>
        <v/>
      </c>
      <c r="F45" s="142" t="str">
        <f>IF(C34&lt;F34,((G34-G34*$I$23*0.01)+F34-C34)/C34,"")</f>
        <v/>
      </c>
      <c r="G45" s="142" t="str">
        <f t="shared" si="13"/>
        <v/>
      </c>
      <c r="H45" s="142" t="str">
        <f>IF(C34&lt;F34,(G34-G34*$I$23*0.01)/C34,"")</f>
        <v/>
      </c>
      <c r="I45" s="144" t="str">
        <f t="shared" si="14"/>
        <v/>
      </c>
      <c r="J45" s="44" t="str">
        <f t="shared" si="15"/>
        <v/>
      </c>
      <c r="K45" s="45" t="str">
        <f>IF(H34="yes",$F$21/100,"")</f>
        <v/>
      </c>
      <c r="L45" s="47" t="str">
        <f t="shared" si="17"/>
        <v/>
      </c>
      <c r="M45" s="46" t="str">
        <f t="shared" si="18"/>
        <v/>
      </c>
      <c r="N45" s="45" t="str">
        <f t="shared" si="19"/>
        <v/>
      </c>
      <c r="O45" s="45" t="str">
        <f t="shared" si="20"/>
        <v/>
      </c>
      <c r="P45" s="145" t="str">
        <f t="shared" si="21"/>
        <v/>
      </c>
      <c r="Q45" s="146" t="str">
        <f t="shared" si="22"/>
        <v/>
      </c>
      <c r="R45" s="147" t="str">
        <f>IF(C34&gt;0,(J34-J34*$I$23*0.01)-K34-C34,"")</f>
        <v/>
      </c>
      <c r="S45" s="148" t="str">
        <f t="shared" si="23"/>
        <v/>
      </c>
      <c r="T45" s="148" t="str">
        <f t="shared" si="24"/>
        <v/>
      </c>
      <c r="U45" s="149" t="str">
        <f t="shared" si="25"/>
        <v/>
      </c>
      <c r="V45" s="73"/>
      <c r="W45" s="73"/>
      <c r="X45" s="73"/>
      <c r="Y45" s="73"/>
      <c r="Z45" s="73"/>
    </row>
    <row r="46" spans="1:27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150"/>
      <c r="R46" s="73"/>
      <c r="S46" s="73"/>
      <c r="T46" s="73"/>
      <c r="U46" s="73"/>
      <c r="V46" s="73"/>
      <c r="W46" s="73"/>
      <c r="X46" s="73"/>
      <c r="Y46" s="73"/>
      <c r="Z46" s="73"/>
      <c r="AA46" s="73"/>
    </row>
    <row r="47" spans="1:27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W47" s="73"/>
      <c r="X47" s="73"/>
      <c r="Y47" s="73"/>
      <c r="Z47" s="73"/>
      <c r="AA47" s="73"/>
    </row>
    <row r="48" spans="1:27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</row>
    <row r="49" spans="1:27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</row>
    <row r="50" spans="1:27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</row>
    <row r="51" spans="1:27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</row>
    <row r="52" spans="1:27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</row>
    <row r="53" spans="1:27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1:27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</sheetData>
  <sheetProtection sheet="1" objects="1" scenarios="1" selectLockedCells="1"/>
  <mergeCells count="22">
    <mergeCell ref="C37:E37"/>
    <mergeCell ref="F37:I37"/>
    <mergeCell ref="B26:G26"/>
    <mergeCell ref="J26:K26"/>
    <mergeCell ref="L26:O26"/>
    <mergeCell ref="P26:Q26"/>
    <mergeCell ref="R26:U26"/>
    <mergeCell ref="B36:I36"/>
    <mergeCell ref="J36:P36"/>
    <mergeCell ref="Q36:U36"/>
    <mergeCell ref="B23:H23"/>
    <mergeCell ref="B25:I25"/>
    <mergeCell ref="J25:K25"/>
    <mergeCell ref="L25:O25"/>
    <mergeCell ref="P25:Q25"/>
    <mergeCell ref="R25:U25"/>
    <mergeCell ref="B2:H2"/>
    <mergeCell ref="K2:S2"/>
    <mergeCell ref="T2:U2"/>
    <mergeCell ref="B15:I15"/>
    <mergeCell ref="B16:I17"/>
    <mergeCell ref="B18:D18"/>
  </mergeCells>
  <conditionalFormatting sqref="Q29:Q34 U29:U34">
    <cfRule type="cellIs" dxfId="2" priority="3" operator="equal">
      <formula>"YES"</formula>
    </cfRule>
  </conditionalFormatting>
  <conditionalFormatting sqref="O29:O34">
    <cfRule type="cellIs" dxfId="1" priority="2" operator="equal">
      <formula>"yes"</formula>
    </cfRule>
  </conditionalFormatting>
  <conditionalFormatting sqref="U40:U45">
    <cfRule type="cellIs" dxfId="0" priority="1" operator="equal">
      <formula>"yes"</formula>
    </cfRule>
  </conditionalFormatting>
  <dataValidations count="4">
    <dataValidation type="decimal" allowBlank="1" showInputMessage="1" showErrorMessage="1" sqref="I29:I34">
      <formula1>0</formula1>
      <formula2>1000</formula2>
    </dataValidation>
    <dataValidation type="decimal" allowBlank="1" showInputMessage="1" showErrorMessage="1" sqref="F29:G34 C29:C34 J29:K34">
      <formula1>0</formula1>
      <formula2>10000</formula2>
    </dataValidation>
    <dataValidation type="date" allowBlank="1" showInputMessage="1" showErrorMessage="1" sqref="D29:E34">
      <formula1>1</formula1>
      <formula2>73051</formula2>
    </dataValidation>
    <dataValidation type="decimal" allowBlank="1" showInputMessage="1" showErrorMessage="1" sqref="C21:H21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CCC </vt:lpstr>
      <vt:lpstr>Sheet1</vt:lpstr>
      <vt:lpstr>Sheet2</vt:lpstr>
      <vt:lpstr>Sheet3</vt:lpstr>
    </vt:vector>
  </TitlesOfParts>
  <Company>Kit and Kaboodle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Gault</dc:creator>
  <cp:lastModifiedBy>James Gault</cp:lastModifiedBy>
  <dcterms:created xsi:type="dcterms:W3CDTF">2010-03-10T16:27:12Z</dcterms:created>
  <dcterms:modified xsi:type="dcterms:W3CDTF">2010-03-23T19:10:13Z</dcterms:modified>
</cp:coreProperties>
</file>